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nketankenequalis-my.sharepoint.com/personal/clara_equalis_dk/Documents/"/>
    </mc:Choice>
  </mc:AlternateContent>
  <xr:revisionPtr revIDLastSave="0" documentId="8_{523DB8A4-3D7F-420A-85B4-66AAF808A0E4}" xr6:coauthVersionLast="47" xr6:coauthVersionMax="47" xr10:uidLastSave="{00000000-0000-0000-0000-000000000000}"/>
  <bookViews>
    <workbookView xWindow="-98" yWindow="-98" windowWidth="21795" windowHeight="12975" firstSheet="2" activeTab="2" xr2:uid="{865992A5-4F03-4BB8-9E25-AE0E9C409FFC}"/>
  </bookViews>
  <sheets>
    <sheet name="Kriterier" sheetId="6" r:id="rId1"/>
    <sheet name="Masterdata" sheetId="1" r:id="rId2"/>
    <sheet name="Arbejdsstyrkens karakteristika" sheetId="2" r:id="rId3"/>
    <sheet name="Løn, karriere og sociale forhol" sheetId="3" r:id="rId4"/>
    <sheet name="Mangfoldighed, inklusion og li" sheetId="4" r:id="rId5"/>
    <sheet name="Arbejdsmiljø"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3" l="1"/>
  <c r="F95" i="3"/>
  <c r="G94" i="3"/>
  <c r="F94" i="3"/>
  <c r="G93" i="3"/>
  <c r="F93" i="3"/>
  <c r="G92" i="3"/>
  <c r="E18" i="5"/>
  <c r="E20" i="5"/>
  <c r="E19" i="3"/>
  <c r="E19" i="5"/>
  <c r="E17" i="5"/>
  <c r="F63" i="5"/>
  <c r="F62" i="5"/>
  <c r="E63" i="5"/>
  <c r="E62" i="5"/>
  <c r="E55" i="2"/>
  <c r="E48" i="4"/>
  <c r="F48" i="4"/>
  <c r="E66" i="4"/>
  <c r="E46" i="5"/>
  <c r="E45" i="5"/>
  <c r="E44" i="5"/>
  <c r="E43" i="5"/>
  <c r="E17" i="4"/>
  <c r="E16" i="4"/>
  <c r="E15" i="4"/>
  <c r="E14" i="4"/>
  <c r="E32" i="4"/>
  <c r="E31" i="4"/>
  <c r="E30" i="4"/>
  <c r="E29" i="4"/>
  <c r="E105" i="3"/>
  <c r="E104" i="3"/>
  <c r="E103" i="3"/>
  <c r="E102" i="3"/>
  <c r="E95" i="3"/>
  <c r="E94" i="3"/>
  <c r="E93" i="3"/>
  <c r="E92" i="3"/>
  <c r="E27" i="3"/>
  <c r="E14" i="2"/>
  <c r="E34" i="2"/>
  <c r="E26" i="3"/>
  <c r="E30" i="3"/>
  <c r="E29" i="3"/>
  <c r="E28" i="3"/>
  <c r="D14" i="3"/>
  <c r="E14" i="3"/>
  <c r="G44" i="2"/>
  <c r="F44" i="2"/>
  <c r="E44" i="2"/>
  <c r="D44" i="2"/>
  <c r="G40" i="2"/>
  <c r="F40" i="2"/>
  <c r="E40" i="2"/>
  <c r="D40" i="2"/>
  <c r="G38" i="2"/>
  <c r="F38" i="2"/>
  <c r="D38" i="2"/>
  <c r="E38" i="2"/>
  <c r="G36" i="2"/>
  <c r="F36" i="2"/>
  <c r="E36" i="2"/>
  <c r="D36" i="2"/>
  <c r="G42" i="2"/>
  <c r="F42" i="2"/>
  <c r="E42" i="2"/>
  <c r="D42" i="2"/>
  <c r="E74" i="2"/>
  <c r="E73" i="2"/>
  <c r="E72" i="2"/>
  <c r="E71" i="2"/>
  <c r="E17" i="2"/>
  <c r="G34" i="2"/>
  <c r="E16" i="2"/>
  <c r="F34" i="2"/>
  <c r="E15" i="2"/>
  <c r="D34" i="2"/>
  <c r="D49" i="2"/>
  <c r="K7" i="1"/>
  <c r="E63" i="4"/>
  <c r="G96" i="3"/>
  <c r="F96" i="3"/>
  <c r="F92" i="3"/>
  <c r="E47" i="5"/>
  <c r="E18" i="4"/>
  <c r="F16" i="4"/>
  <c r="H44" i="2"/>
  <c r="E33" i="4"/>
  <c r="F29" i="4"/>
  <c r="E96" i="3"/>
  <c r="E97" i="3"/>
  <c r="H36" i="2"/>
  <c r="H38" i="2"/>
  <c r="H40" i="2"/>
  <c r="E15" i="3"/>
  <c r="H42" i="2"/>
  <c r="H34" i="2"/>
  <c r="E75" i="2"/>
  <c r="E18" i="2"/>
  <c r="F14" i="4"/>
  <c r="F15" i="4"/>
  <c r="F17" i="4"/>
  <c r="F32" i="4"/>
  <c r="E106" i="3"/>
  <c r="F31" i="4"/>
  <c r="F30" i="4"/>
  <c r="E49" i="2"/>
  <c r="E50" i="2"/>
  <c r="D55" i="2"/>
  <c r="E56" i="2"/>
  <c r="F18" i="4"/>
  <c r="F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tc={0DFF9D79-4004-41FD-ACE8-094C7A983D47}</author>
    <author>tc={731C6838-8070-495B-AAC9-3DF58542F784}</author>
    <author>tc={F3271435-80B6-471C-A588-3B391D3A37B8}</author>
    <author>tc={B11F2C15-F77C-493A-8FCB-89E2205C461D}</author>
    <author>tc={8572BDCD-DF67-4BC4-9100-A88815BE753F}</author>
    <author>tc={15D1CBB0-4CAB-416D-B9E0-0B5BA0065451}</author>
    <author>tc={D22AEF42-8C1D-4C02-B464-8FCAC35494FA}</author>
  </authors>
  <commentList>
    <comment ref="H6" authorId="0" shapeId="0" xr:uid="{0DFF9D79-4004-41FD-ACE8-094C7A983D47}">
      <text>
        <t>[Trådet kommentar]
Din version af Excel lader dig læse denne trådede kommentar. Eventuelle ændringer vil dog blive fjernet, hvis filen åbnes i en nyere version af Excel. Få mere at vide: https://go.microsoft.com/fwlink/?linkid=870924
Kommentar:
    Vælg mellem fastansat, midlertidig ansat (tidsbegrænset kontrakt), eller 0-timers kontrakt.</t>
      </text>
    </comment>
    <comment ref="J6" authorId="1" shapeId="0" xr:uid="{731C6838-8070-495B-AAC9-3DF58542F784}">
      <text>
        <t>[Trådet kommentar]
Din version af Excel lader dig læse denne trådede kommentar. Eventuelle ændringer vil dog blive fjernet, hvis filen åbnes i en nyere version af Excel. Få mere at vide: https://go.microsoft.com/fwlink/?linkid=870924
Kommentar:
    Dato for fratrædelse indtastes, hvis medarbejderen har forladt virksomheden.</t>
      </text>
    </comment>
    <comment ref="L6" authorId="2" shapeId="0" xr:uid="{F3271435-80B6-471C-A588-3B391D3A37B8}">
      <text>
        <t>[Trådet kommentar]
Din version af Excel lader dig læse denne trådede kommentar. Eventuelle ændringer vil dog blive fjernet, hvis filen åbnes i en nyere version af Excel. Få mere at vide: https://go.microsoft.com/fwlink/?linkid=870924
Kommentar:
    Værdien af den samlede kompensation for den enkelte medarbejder.</t>
      </text>
    </comment>
    <comment ref="O6" authorId="3" shapeId="0" xr:uid="{B11F2C15-F77C-493A-8FCB-89E2205C461D}">
      <text>
        <t>[Trådet kommentar]
Din version af Excel lader dig læse denne trådede kommentar. Eventuelle ændringer vil dog blive fjernet, hvis filen åbnes i en nyere version af Excel. Få mere at vide: https://go.microsoft.com/fwlink/?linkid=870924
Kommentar:
    Her angives ’Ja’ hvis medarbejderen har gjort brug af orlov i perioden.</t>
      </text>
    </comment>
    <comment ref="S6" authorId="4" shapeId="0" xr:uid="{8572BDCD-DF67-4BC4-9100-A88815BE753F}">
      <text>
        <t>[Trådet kommentar]
Din version af Excel lader dig læse denne trådede kommentar. Eventuelle ændringer vil dog blive fjernet, hvis filen åbnes i en nyere version af Excel. Få mere at vide: https://go.microsoft.com/fwlink/?linkid=870924
Kommentar:
    Antallet af gennemførte MUS eller performance-samtaler for perioden.</t>
      </text>
    </comment>
    <comment ref="T6" authorId="5" shapeId="0" xr:uid="{15D1CBB0-4CAB-416D-B9E0-0B5BA0065451}">
      <text>
        <t>[Trådet kommentar]
Din version af Excel lader dig læse denne trådede kommentar. Eventuelle ændringer vil dog blive fjernet, hvis filen åbnes i en nyere version af Excel. Få mere at vide: https://go.microsoft.com/fwlink/?linkid=870924
Kommentar:
    Antallet af planlagt MUS / performance-samtaler for perioden.</t>
      </text>
    </comment>
    <comment ref="U6" authorId="6" shapeId="0" xr:uid="{D22AEF42-8C1D-4C02-B464-8FCAC35494FA}">
      <text>
        <t>[Trådet kommentar]
Din version af Excel lader dig læse denne trådede kommentar. Eventuelle ændringer vil dog blive fjernet, hvis filen åbnes i en nyere version af Excel. Få mere at vide: https://go.microsoft.com/fwlink/?linkid=870924
Kommentar:
    Det samlede antal timer, den pågældende medarbejder har brugt på træning eller uddannelse for perioden.</t>
      </text>
    </comment>
  </commentList>
</comments>
</file>

<file path=xl/sharedStrings.xml><?xml version="1.0" encoding="utf-8"?>
<sst xmlns="http://schemas.openxmlformats.org/spreadsheetml/2006/main" count="392" uniqueCount="164">
  <si>
    <t>Overenskomst</t>
  </si>
  <si>
    <t>Fagforeningsmedlemsskab</t>
  </si>
  <si>
    <t>Antal sygedage</t>
  </si>
  <si>
    <t>Antal dage på orlov (barsel el. lign.)</t>
  </si>
  <si>
    <t>1. aug</t>
  </si>
  <si>
    <t>20. aug</t>
  </si>
  <si>
    <t>Ja</t>
  </si>
  <si>
    <t>Nej</t>
  </si>
  <si>
    <t>Værdi af alle goder (løn, forsikring, fri bil, telefoni, mv.)</t>
  </si>
  <si>
    <t>Timeløn</t>
  </si>
  <si>
    <t>S1-6</t>
  </si>
  <si>
    <t>Køn</t>
  </si>
  <si>
    <t>Mand</t>
  </si>
  <si>
    <t>Kvinde</t>
  </si>
  <si>
    <t>Andet</t>
  </si>
  <si>
    <t>Ikke oplyst</t>
  </si>
  <si>
    <t>Antal medarbejdere (headcount)</t>
  </si>
  <si>
    <t>I alt</t>
  </si>
  <si>
    <t>Turnover i headcount</t>
  </si>
  <si>
    <t>Antal medarbejdere</t>
  </si>
  <si>
    <t>Turnover rate</t>
  </si>
  <si>
    <t>Afvigelse</t>
  </si>
  <si>
    <t>Kvinder</t>
  </si>
  <si>
    <t>Mænd</t>
  </si>
  <si>
    <t>Total</t>
  </si>
  <si>
    <t>Fastansat</t>
  </si>
  <si>
    <t>Fuld tid</t>
  </si>
  <si>
    <t>0-timers kontrakt</t>
  </si>
  <si>
    <t>Antal fultidsansatte (head count)</t>
  </si>
  <si>
    <t>Antal fastansatte (head count)</t>
  </si>
  <si>
    <t>Antal midlertidigt ansatte (head count)</t>
  </si>
  <si>
    <t>Antal ansatte på 0-timers kontrakt (head count)</t>
  </si>
  <si>
    <t>Antal deltidsansatte (head count)</t>
  </si>
  <si>
    <t>S1-8</t>
  </si>
  <si>
    <t>Antal ansatte omfattet af overenskomst</t>
  </si>
  <si>
    <t>Andel af medarbejdere omfattet af overenskomst</t>
  </si>
  <si>
    <t>Antal medarbejdere (head count)</t>
  </si>
  <si>
    <t>Antal af forskellige overenskomster</t>
  </si>
  <si>
    <t>80-100%</t>
  </si>
  <si>
    <t>Omfatning</t>
  </si>
  <si>
    <t>0-19%</t>
  </si>
  <si>
    <t>20-39%</t>
  </si>
  <si>
    <t>40-59%</t>
  </si>
  <si>
    <t>60-79%</t>
  </si>
  <si>
    <t>DK</t>
  </si>
  <si>
    <t>Antal ansatte omfattet af overenskomst (Udenfor EØS)</t>
  </si>
  <si>
    <t>Antal ansatte omfattet af overenskomst (i EØS)</t>
  </si>
  <si>
    <t>Collective bargaining (overenskomst/fællesaftaler)</t>
  </si>
  <si>
    <t>Tillidsrepræsentation (kun i EØS)</t>
  </si>
  <si>
    <t>Social dialog</t>
  </si>
  <si>
    <t>Gennemsnitlig antal træning (i timer)</t>
  </si>
  <si>
    <t>Gennemsnitlig træning per medarbejder (i timer)</t>
  </si>
  <si>
    <t>Kønsbalancen i topledelsen</t>
  </si>
  <si>
    <t>Antal</t>
  </si>
  <si>
    <t>Andel</t>
  </si>
  <si>
    <t>Aldersfordeling</t>
  </si>
  <si>
    <t>Under 30</t>
  </si>
  <si>
    <t>30-50</t>
  </si>
  <si>
    <t>Over 50</t>
  </si>
  <si>
    <t>Topledelse</t>
  </si>
  <si>
    <t xml:space="preserve">Nej </t>
  </si>
  <si>
    <t>Taget orlov</t>
  </si>
  <si>
    <t xml:space="preserve">Løngap </t>
  </si>
  <si>
    <t>Pct.</t>
  </si>
  <si>
    <t>Samlede årlige vederlagsratio</t>
  </si>
  <si>
    <t>Samlet beløb - bøde/straffe</t>
  </si>
  <si>
    <t xml:space="preserve">Klager om diskrimination og chikane </t>
  </si>
  <si>
    <t>Ratio</t>
  </si>
  <si>
    <t>Handicap</t>
  </si>
  <si>
    <t>Brud på menneskerettighederne</t>
  </si>
  <si>
    <t>Antal arbejdsrelaterede skader og sygdomme</t>
  </si>
  <si>
    <t>Antal medarbejdere i årsrapport</t>
  </si>
  <si>
    <t>Antal arbejdsrelaterede dødsfald</t>
  </si>
  <si>
    <t>Antal klager om diskrimination og chikane</t>
  </si>
  <si>
    <t>Antal arbejdsrelaterede ulykker</t>
  </si>
  <si>
    <t>Samlet beløb for bøder/straffe for diskrimination-, og chikanesager</t>
  </si>
  <si>
    <t>Samlet beløb for bøder/straffe for brud på menneskerettigheder</t>
  </si>
  <si>
    <t>Ref.</t>
  </si>
  <si>
    <t>S1-14</t>
  </si>
  <si>
    <t>S1-17</t>
  </si>
  <si>
    <t>Antal brud på menneskerettigheder</t>
  </si>
  <si>
    <t>Antal forskellige overenskomster</t>
  </si>
  <si>
    <t>Kønsfordeling blandt egne ansatte</t>
  </si>
  <si>
    <t>Antal MUS/Performance samtaler</t>
  </si>
  <si>
    <t xml:space="preserve">Afvigelse fra aftalt antal MUS/Performance samtaler </t>
  </si>
  <si>
    <t>Hvis relevant, enhver kontekstuel information der er nødvendig for at forstå data, hvordan det er indsamlet og andre ændringer i datagrundlaget der bør overvejes.</t>
  </si>
  <si>
    <t>Andel af medarbejdere med ret til familie-relateret orlov</t>
  </si>
  <si>
    <t>Medarbejder ID</t>
  </si>
  <si>
    <t>Beskæftigelse, land</t>
  </si>
  <si>
    <t>Alder</t>
  </si>
  <si>
    <t>Ansat</t>
  </si>
  <si>
    <t>Kontrakttype</t>
  </si>
  <si>
    <t>Ansættelsens ophør</t>
  </si>
  <si>
    <t>MUS (planlagt)</t>
  </si>
  <si>
    <t>Træning, antal timer</t>
  </si>
  <si>
    <t>MASTERDATA</t>
  </si>
  <si>
    <t>Akkumuleret data til afrapportering</t>
  </si>
  <si>
    <t>Yderligere kvalitative oplysninger til rapporteringspunktet</t>
  </si>
  <si>
    <t>Yderlige kvalitative oplysninger til rapporteringspunktet</t>
  </si>
  <si>
    <t>Andel af medarbejdere på overenskomst</t>
  </si>
  <si>
    <t>Tilstrækkelig aflønning af medarbejdere</t>
  </si>
  <si>
    <t>Social sikkerhed</t>
  </si>
  <si>
    <t>Antal medarbejdere (Head Count)</t>
  </si>
  <si>
    <t>Antal arbejdsrelaterede ulykker, sygdom/dårligt helbred</t>
  </si>
  <si>
    <t>Antal fraværsdage som følge af ulykker, sygdom/dårligt helbred</t>
  </si>
  <si>
    <t>Antal af fraværsdage som følge af ulykker, sygdom og dødsfald</t>
  </si>
  <si>
    <t>Rate for arbejdsralterede ulykker</t>
  </si>
  <si>
    <t>Ansat (Ja/Nej)</t>
  </si>
  <si>
    <t>MUS (Afholdt)</t>
  </si>
  <si>
    <t>S1-6: Karakteristik af egne ansatte</t>
  </si>
  <si>
    <t>1)</t>
  </si>
  <si>
    <t>2)</t>
  </si>
  <si>
    <t>3)</t>
  </si>
  <si>
    <t>Medarbejdere fordelt på køn og ansættelsesforhold</t>
  </si>
  <si>
    <t>4)</t>
  </si>
  <si>
    <t>Medarbejderomsætning</t>
  </si>
  <si>
    <t>5)</t>
  </si>
  <si>
    <t>Antal medarbejdere, sammenholdt med oplyst antal medarbejdere i virksomhedens årsrapport</t>
  </si>
  <si>
    <t>S1-7: Karakteristik af ikke-ansatte i arbejdsstyrken</t>
  </si>
  <si>
    <t>Kønsfordeling blandt ikke-ansatte i egen arbejdsstyrke</t>
  </si>
  <si>
    <t>Her skal angives:
- En beskrivelse af de metoder og antagelser der er anvendt til at komme frem til tallene: er der tale om en gennemsnitsbetragtning eller et stilbillede pr. sidste dag i rapporteringsperioden? Opgøres tallet i head count eller i FTE?
- En beskrivelse/forklaring af kontekstuelle informationer (f.eks. fluktueringer)
- Er data ikke tilgængelig, skal man oplyse dette og angive et estimat, samt hvad estimatet bygger på.</t>
  </si>
  <si>
    <t>S1-8: Overenskomst og organisering</t>
  </si>
  <si>
    <t>Andel af medarbejdere der er dækket af overenskomst og tillidsrepræsentation (OBS: Udregner kun DK-medarbejdere)</t>
  </si>
  <si>
    <t>Er der nogen aftale om repræsentation i et European Work Council (EWC), Societas Europaea (SE) eller Societas Cooperativa Europaea (SCE)?</t>
  </si>
  <si>
    <t>S1-10: Tilstrækkelig aflønning</t>
  </si>
  <si>
    <t>S1-11: Social sikkerhed</t>
  </si>
  <si>
    <t>S1-13: Træning og udviklingsmål</t>
  </si>
  <si>
    <t>Andel af medarbejdere der har deltaget i MUS/Performance samtaler</t>
  </si>
  <si>
    <t>Antal ansatte</t>
  </si>
  <si>
    <t>Distribution af udviklingssamtaler</t>
  </si>
  <si>
    <t>Gennemsnit for tid brugt på uddannelse/træning i perioden</t>
  </si>
  <si>
    <t>Virksomheden skal redegøre for hvordan den definerer topledelse. Alternativt skal følgende definition anvendes: de to niveauer under den administrative og supervisor instanser (AR71)</t>
  </si>
  <si>
    <t>Aldersdiversitet blandt egne ansatte</t>
  </si>
  <si>
    <t>S1-12: Handicap</t>
  </si>
  <si>
    <t>S1-9: Diversitet</t>
  </si>
  <si>
    <t>Andel af medarbejdere med handicap der er underlagt restriktioner ift. Indsamling af data</t>
  </si>
  <si>
    <t>S1-16: Lønstatistik og løn-gap</t>
  </si>
  <si>
    <t>Løngap og vederlagsratio</t>
  </si>
  <si>
    <t>Andel af medarnejdere, der er omfattet af sikkerhedssystemer</t>
  </si>
  <si>
    <t>S1-14: Sundhed og sikkerhed</t>
  </si>
  <si>
    <t>Andel af medarbejdere, der er omfattet af sikkerhedssystemer</t>
  </si>
  <si>
    <t>S1-15: Work-life balance</t>
  </si>
  <si>
    <t>Hvordan er retten til familie-relateret orlov sikret?</t>
  </si>
  <si>
    <t>Andel medarbejdere der har afholdt orlov i perioden</t>
  </si>
  <si>
    <t>S1-17: Hændelser, klager og brud på menneskerettigheder</t>
  </si>
  <si>
    <t>Klager om diskrimination og chikane, samt evt. bøder</t>
  </si>
  <si>
    <t>Formålet med dette rapporteringspunkt er at vise, hvordan virksomheden håndterer beskæftigelse og hvilke effekter det har. Det skal hjælpe med at forstå andre rapporterede oplysninger og bruges til at beregne tal for andre rapporteringspunkter i standarden.</t>
  </si>
  <si>
    <t>Formålet med dette rapporteringspunkt er at vise, hvordan virksomheden håndterer ansættelser, og hvilke effekter det har. Det skal tilmed give en forståelse for, hvor meget virksomheden gør brug af ikke-ansatte i sin arbejdsstyrke.</t>
  </si>
  <si>
    <t>Formålet med dette oplysningkrav er at give en forståelse af dækningen af kollektive overenskomster og social dialog for virksomhedens egne ansatte.</t>
  </si>
  <si>
    <t>Formålet med dette rapporteringspunkt er at give en forståelse af, om virksomhedens ansatte har social beskyttelse ved indkomsttab pga. store livsbegivenheder.</t>
  </si>
  <si>
    <t>Formålet med dette rapporteringskrav er at give en forståelse af, om alle virksomhedens ansatte får en tilstrækkelig løn i overensstemmelse med relevante benchmarks.</t>
  </si>
  <si>
    <t>Formålet med dette rapporteringspunkt er at give en forståelse af de trænings- og kompetenceudviklingsaktiviteter, der tilbydes medarbejderne for at fremme professionel vækst og sikre deres fremtidige beskæftigelsesmuligheder.</t>
  </si>
  <si>
    <t>Formålet med dette rapporteringspunkt er at give en forståelse af kønsdiversiteten i topledelsen, samt aldersfordelingen blandt medarbejdere.</t>
  </si>
  <si>
    <t>Formålet med dette rapporteringspunkt er at give en forståelse af, i hvilket omfang personer med handicap er inkluderet i virksomhedens arbejdsstyrke.</t>
  </si>
  <si>
    <t>Formålet med dette rapporteringsounkt er at give en forståelse af eventuelle lønforskelle mellem mandlige og kvindelige ansatte i virskomheden. Det skal også give indsigt i niveauet af løn-ligheden i virksomheden og størrelsen af lønforskelle.</t>
  </si>
  <si>
    <t>Formålet med dette rapporteringspunkt er at give en forståelse for dækningen, kvaliteten og effektiviteten af sundheds- og sikkerhedssystemer der er i virksomheden, for at forhindre arbejdsrelaterede skader og ulykker.</t>
  </si>
  <si>
    <t>Formålet med dette rapporteringspunkt er at give en forståelse for medarbejdernes ret til- og praksis omkring familie-relateret orlov, samt hvordan de forskellige medarbejdergrupper gør brug af rettigheden.</t>
  </si>
  <si>
    <t>Formålet med rapporteringspunktet er at give et indblik i hvor meget arbejdsrelaterede hændelser og alvorlige tilfælde af brud på menneskerettigheder påvirker virksomhedens egen arbejdsstyrke.</t>
  </si>
  <si>
    <t>Midlertidigt ansat</t>
  </si>
  <si>
    <r>
      <t xml:space="preserve">Akkumuleret timeantal arbejdet for </t>
    </r>
    <r>
      <rPr>
        <i/>
        <sz val="9"/>
        <color theme="1"/>
        <rFont val="Lexend Light"/>
      </rPr>
      <t>alle</t>
    </r>
    <r>
      <rPr>
        <sz val="9"/>
        <color theme="1"/>
        <rFont val="Lexend Light"/>
      </rPr>
      <t xml:space="preserve"> medarbejdere i arbejdsstyrken</t>
    </r>
  </si>
  <si>
    <t>S-nøglen – en værktøjskasse udarbejdet af Tænketanken EQUALIS i samarbejde</t>
  </si>
  <si>
    <t>med Dansk Industri og med støtte fra Tietgenfonden.</t>
  </si>
  <si>
    <t>Er alle ens medarbejdere dækket af sociale forhold, i tilfælde af indkomsttab forsaget af større livsbegivenheder? Specifikt i forhold til:
sygdom, arbejdsløshed, arbejdsskader og evt. efterfølgende handicap, forældreorlov og pension. Hvis alle medarbejdere er dækket, er det tilstrækkeligt at angive dette.
Er alle medarbejdere ikke dækket, skal der oplyses i hvilke lande medarbejdere ikke er dækket af de specifikke punkter, samt hvilken type af ansatte der ikke er dækket.</t>
  </si>
  <si>
    <t>Modtager alle medarbejdere en tilstrækkelig løn i overensstemmelse med relevante benchmarks, f.eks. overenskomster eller minimumslønninger? Hvis ja, er det tilstrækkeligt at angive det. Hvis nej, skal der oplyses i hvilke lande og hvor stor en andel (%), der ikke modtager en tilstrækkelig løn jf. ovenstående kriterier.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</si>
</sst>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sz val="9"/>
      <color theme="1"/>
      <name val="Lexend Light"/>
    </font>
    <font>
      <b/>
      <sz val="9"/>
      <color theme="1"/>
      <name val="Lexend Light"/>
    </font>
    <font>
      <sz val="8"/>
      <color theme="1"/>
      <name val="Lexend Light"/>
    </font>
    <font>
      <sz val="8"/>
      <color theme="1"/>
      <name val="Lexend SemiBold"/>
    </font>
    <font>
      <sz val="11"/>
      <color theme="1"/>
      <name val="Lexend SemiBold"/>
    </font>
    <font>
      <sz val="9"/>
      <color theme="1"/>
      <name val="Lexend SemiBold"/>
    </font>
    <font>
      <i/>
      <sz val="9"/>
      <color theme="1"/>
      <name val="Lexend Light"/>
    </font>
    <font>
      <sz val="24"/>
      <color theme="1"/>
      <name val="Lexend SemiBold"/>
    </font>
    <font>
      <sz val="9"/>
      <color theme="1"/>
      <name val="Lexend"/>
    </font>
    <font>
      <b/>
      <sz val="9"/>
      <color theme="1"/>
      <name val="Lexend SemiBold"/>
    </font>
    <font>
      <b/>
      <sz val="9"/>
      <color theme="1"/>
      <name val="Lexend"/>
    </font>
    <font>
      <sz val="16"/>
      <color theme="1"/>
      <name val="Lexend SemiBold"/>
    </font>
    <font>
      <sz val="9"/>
      <color theme="0"/>
      <name val="Lexend SemiBold"/>
    </font>
    <font>
      <sz val="9"/>
      <color rgb="FF000000"/>
      <name val="Lexend Light"/>
    </font>
    <font>
      <sz val="9"/>
      <color theme="0"/>
      <name val="Lexend Light"/>
    </font>
  </fonts>
  <fills count="11">
    <fill>
      <patternFill patternType="none"/>
    </fill>
    <fill>
      <patternFill patternType="gray125"/>
    </fill>
    <fill>
      <patternFill patternType="solid">
        <fgColor theme="0" tint="-0.14999847407452621"/>
        <bgColor indexed="64"/>
      </patternFill>
    </fill>
    <fill>
      <patternFill patternType="solid">
        <fgColor theme="3" tint="0.749992370372631"/>
        <bgColor indexed="64"/>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2"/>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0" fillId="0" borderId="3" xfId="0" applyBorder="1"/>
    <xf numFmtId="0" fontId="0" fillId="0" borderId="4" xfId="0" applyBorder="1"/>
    <xf numFmtId="0" fontId="0" fillId="0" borderId="0" xfId="0" applyAlignment="1">
      <alignment horizontal="right"/>
    </xf>
    <xf numFmtId="2" fontId="0" fillId="0" borderId="0" xfId="1" applyNumberFormat="1" applyFont="1" applyBorder="1"/>
    <xf numFmtId="0" fontId="0" fillId="0" borderId="1" xfId="0" applyBorder="1"/>
    <xf numFmtId="0" fontId="2" fillId="0" borderId="3" xfId="0" applyFont="1" applyBorder="1"/>
    <xf numFmtId="10" fontId="0" fillId="0" borderId="4" xfId="1" applyNumberFormat="1" applyFont="1" applyBorder="1"/>
    <xf numFmtId="10" fontId="0" fillId="0" borderId="0" xfId="1" applyNumberFormat="1" applyFont="1" applyBorder="1"/>
    <xf numFmtId="10" fontId="0" fillId="0" borderId="0" xfId="0" applyNumberFormat="1"/>
    <xf numFmtId="0" fontId="0" fillId="0" borderId="0" xfId="0" applyAlignment="1">
      <alignment wrapText="1"/>
    </xf>
    <xf numFmtId="9" fontId="0" fillId="0" borderId="0" xfId="0" applyNumberFormat="1"/>
    <xf numFmtId="0" fontId="2" fillId="0" borderId="0" xfId="0" applyFont="1" applyAlignment="1">
      <alignment wrapText="1"/>
    </xf>
    <xf numFmtId="9" fontId="0" fillId="0" borderId="0" xfId="0" applyNumberFormat="1" applyAlignment="1">
      <alignment vertical="top"/>
    </xf>
    <xf numFmtId="0" fontId="0" fillId="0" borderId="19" xfId="0" applyBorder="1"/>
    <xf numFmtId="0" fontId="2" fillId="3" borderId="1" xfId="0" applyFont="1" applyFill="1" applyBorder="1"/>
    <xf numFmtId="0" fontId="0" fillId="3" borderId="9" xfId="0" applyFill="1" applyBorder="1"/>
    <xf numFmtId="0" fontId="0" fillId="3" borderId="21" xfId="0" applyFill="1" applyBorder="1"/>
    <xf numFmtId="0" fontId="0" fillId="5" borderId="9" xfId="0" applyFill="1" applyBorder="1"/>
    <xf numFmtId="0" fontId="0" fillId="5" borderId="21" xfId="0" applyFill="1" applyBorder="1"/>
    <xf numFmtId="0" fontId="0" fillId="6" borderId="9" xfId="0" applyFill="1" applyBorder="1"/>
    <xf numFmtId="0" fontId="0" fillId="6" borderId="21" xfId="0" applyFill="1" applyBorder="1"/>
    <xf numFmtId="0" fontId="0" fillId="4" borderId="9" xfId="0" applyFill="1" applyBorder="1"/>
    <xf numFmtId="0" fontId="0" fillId="4" borderId="21" xfId="0" applyFill="1" applyBorder="1"/>
    <xf numFmtId="0" fontId="0" fillId="7" borderId="9" xfId="0" applyFill="1" applyBorder="1"/>
    <xf numFmtId="0" fontId="0" fillId="7" borderId="2" xfId="0" applyFill="1" applyBorder="1"/>
    <xf numFmtId="0" fontId="0" fillId="8" borderId="1" xfId="0" applyFill="1" applyBorder="1"/>
    <xf numFmtId="0" fontId="0" fillId="8" borderId="9" xfId="0" applyFill="1" applyBorder="1"/>
    <xf numFmtId="0" fontId="0" fillId="8" borderId="2" xfId="0" applyFill="1" applyBorder="1"/>
    <xf numFmtId="0" fontId="3" fillId="0" borderId="0" xfId="0" applyFont="1"/>
    <xf numFmtId="0" fontId="0" fillId="0" borderId="0" xfId="0" applyAlignment="1">
      <alignment horizontal="center"/>
    </xf>
    <xf numFmtId="0" fontId="0" fillId="9" borderId="0" xfId="0" applyFill="1"/>
    <xf numFmtId="0" fontId="0" fillId="9" borderId="10" xfId="0" applyFill="1" applyBorder="1"/>
    <xf numFmtId="9" fontId="0" fillId="0" borderId="0" xfId="1" applyFont="1" applyBorder="1"/>
    <xf numFmtId="0" fontId="0" fillId="0" borderId="0" xfId="0" applyAlignment="1">
      <alignment horizontal="left" vertical="center" wrapText="1"/>
    </xf>
    <xf numFmtId="0" fontId="2" fillId="0" borderId="0" xfId="0" applyFont="1" applyAlignment="1">
      <alignment horizontal="left" vertical="center" wrapText="1"/>
    </xf>
    <xf numFmtId="49" fontId="0" fillId="0" borderId="0" xfId="0" applyNumberFormat="1"/>
    <xf numFmtId="0" fontId="4" fillId="0" borderId="0" xfId="0" applyFont="1"/>
    <xf numFmtId="0" fontId="6" fillId="0" borderId="0" xfId="0" applyFont="1"/>
    <xf numFmtId="0" fontId="7" fillId="0" borderId="0" xfId="0" applyFont="1"/>
    <xf numFmtId="0" fontId="8" fillId="0" borderId="0" xfId="0" applyFont="1"/>
    <xf numFmtId="0" fontId="9" fillId="0" borderId="7" xfId="0" applyFont="1" applyBorder="1" applyAlignment="1">
      <alignment horizontal="right"/>
    </xf>
    <xf numFmtId="0" fontId="9" fillId="0" borderId="10" xfId="0" applyFont="1" applyBorder="1" applyAlignment="1">
      <alignment horizontal="right"/>
    </xf>
    <xf numFmtId="0" fontId="9" fillId="0" borderId="20" xfId="0" applyFont="1" applyBorder="1" applyAlignment="1">
      <alignment horizontal="right"/>
    </xf>
    <xf numFmtId="0" fontId="9" fillId="0" borderId="8" xfId="0" applyFont="1" applyBorder="1" applyAlignment="1">
      <alignment horizontal="right"/>
    </xf>
    <xf numFmtId="0" fontId="9" fillId="0" borderId="0" xfId="0" applyFont="1"/>
    <xf numFmtId="0" fontId="9" fillId="0" borderId="13" xfId="0" applyFont="1" applyBorder="1"/>
    <xf numFmtId="0" fontId="9" fillId="0" borderId="10" xfId="0" applyFont="1" applyBorder="1"/>
    <xf numFmtId="0" fontId="9" fillId="0" borderId="8" xfId="0" applyFont="1" applyBorder="1"/>
    <xf numFmtId="0" fontId="4" fillId="0" borderId="3" xfId="0" applyFont="1" applyBorder="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0" fontId="4" fillId="0" borderId="19" xfId="0" applyFont="1" applyBorder="1" applyAlignment="1">
      <alignment horizontal="right"/>
    </xf>
    <xf numFmtId="3" fontId="4" fillId="0" borderId="0" xfId="0" applyNumberFormat="1" applyFont="1" applyAlignment="1">
      <alignment horizontal="right"/>
    </xf>
    <xf numFmtId="0" fontId="4" fillId="0" borderId="4" xfId="0" applyFont="1" applyBorder="1" applyAlignment="1">
      <alignment horizontal="right"/>
    </xf>
    <xf numFmtId="0" fontId="4" fillId="0" borderId="12" xfId="0" applyFont="1" applyBorder="1"/>
    <xf numFmtId="0" fontId="4" fillId="0" borderId="4" xfId="0" applyFont="1" applyBorder="1"/>
    <xf numFmtId="0" fontId="4" fillId="0" borderId="13" xfId="0" applyFont="1" applyBorder="1"/>
    <xf numFmtId="0" fontId="4" fillId="0" borderId="10" xfId="0" applyFont="1" applyBorder="1"/>
    <xf numFmtId="3" fontId="4" fillId="0" borderId="8" xfId="0" applyNumberFormat="1" applyFont="1" applyBorder="1"/>
    <xf numFmtId="0" fontId="4" fillId="0" borderId="3" xfId="0" applyFont="1" applyBorder="1"/>
    <xf numFmtId="49" fontId="4" fillId="0" borderId="0" xfId="0" applyNumberFormat="1" applyFont="1"/>
    <xf numFmtId="0" fontId="4" fillId="0" borderId="19" xfId="0" applyFont="1" applyBorder="1"/>
    <xf numFmtId="0" fontId="13" fillId="0" borderId="0" xfId="0" applyFont="1"/>
    <xf numFmtId="0" fontId="9" fillId="0" borderId="1" xfId="0" applyFont="1" applyBorder="1" applyAlignment="1">
      <alignment horizontal="right"/>
    </xf>
    <xf numFmtId="0" fontId="9" fillId="0" borderId="2" xfId="0" applyFont="1" applyBorder="1" applyAlignment="1">
      <alignment horizontal="right"/>
    </xf>
    <xf numFmtId="0" fontId="4" fillId="0" borderId="5" xfId="0" applyFont="1" applyBorder="1"/>
    <xf numFmtId="0" fontId="4" fillId="0" borderId="6" xfId="0" applyFont="1" applyBorder="1"/>
    <xf numFmtId="0" fontId="9" fillId="0" borderId="9" xfId="0" applyFont="1" applyBorder="1" applyAlignment="1">
      <alignment horizontal="right"/>
    </xf>
    <xf numFmtId="0" fontId="14" fillId="0" borderId="0" xfId="0" applyFont="1"/>
    <xf numFmtId="0" fontId="12" fillId="0" borderId="0" xfId="0" applyFont="1"/>
    <xf numFmtId="0" fontId="4" fillId="0" borderId="7" xfId="0" applyFont="1" applyBorder="1"/>
    <xf numFmtId="0" fontId="4" fillId="0" borderId="8" xfId="0" applyFont="1" applyBorder="1"/>
    <xf numFmtId="9" fontId="4" fillId="0" borderId="6" xfId="1" applyFont="1" applyBorder="1"/>
    <xf numFmtId="0" fontId="6" fillId="0" borderId="0" xfId="0" applyFont="1" applyAlignment="1">
      <alignment horizontal="left" vertical="center" indent="5"/>
    </xf>
    <xf numFmtId="0" fontId="13" fillId="0" borderId="1" xfId="0" applyFont="1" applyBorder="1"/>
    <xf numFmtId="0" fontId="13" fillId="0" borderId="2" xfId="0" applyFont="1" applyBorder="1"/>
    <xf numFmtId="9" fontId="9" fillId="0" borderId="0" xfId="1" applyFont="1" applyBorder="1"/>
    <xf numFmtId="0" fontId="9" fillId="0" borderId="11" xfId="0" applyFont="1" applyBorder="1"/>
    <xf numFmtId="0" fontId="16" fillId="0" borderId="0" xfId="0" applyFont="1" applyAlignment="1">
      <alignment horizontal="right"/>
    </xf>
    <xf numFmtId="0" fontId="9" fillId="0" borderId="1" xfId="0" applyFont="1" applyBorder="1"/>
    <xf numFmtId="0" fontId="9" fillId="0" borderId="2" xfId="0" applyFont="1" applyBorder="1"/>
    <xf numFmtId="0" fontId="9" fillId="0" borderId="0" xfId="0" applyFont="1" applyAlignment="1">
      <alignment wrapText="1"/>
    </xf>
    <xf numFmtId="0" fontId="9" fillId="0" borderId="18" xfId="0" applyFont="1" applyBorder="1"/>
    <xf numFmtId="0" fontId="9" fillId="0" borderId="16" xfId="0" applyFont="1" applyBorder="1" applyAlignment="1">
      <alignment vertical="center"/>
    </xf>
    <xf numFmtId="0" fontId="9" fillId="0" borderId="12" xfId="0" applyFont="1" applyBorder="1"/>
    <xf numFmtId="0" fontId="9" fillId="0" borderId="9" xfId="0" applyFont="1" applyBorder="1" applyAlignment="1">
      <alignment horizontal="right" wrapText="1"/>
    </xf>
    <xf numFmtId="0" fontId="9" fillId="0" borderId="2" xfId="0" applyFont="1" applyBorder="1" applyAlignment="1">
      <alignment horizontal="right" wrapText="1"/>
    </xf>
    <xf numFmtId="0" fontId="9" fillId="0" borderId="2" xfId="0" applyFont="1" applyBorder="1" applyAlignment="1">
      <alignment wrapText="1"/>
    </xf>
    <xf numFmtId="0" fontId="4" fillId="0" borderId="16" xfId="0" applyFont="1" applyBorder="1"/>
    <xf numFmtId="0" fontId="4" fillId="0" borderId="18" xfId="0" applyFont="1" applyBorder="1"/>
    <xf numFmtId="0" fontId="4" fillId="0" borderId="5" xfId="0" applyFont="1" applyBorder="1" applyAlignment="1">
      <alignment wrapText="1"/>
    </xf>
    <xf numFmtId="0" fontId="4" fillId="0" borderId="15" xfId="0" applyFont="1" applyBorder="1" applyAlignment="1">
      <alignment wrapText="1"/>
    </xf>
    <xf numFmtId="0" fontId="4" fillId="0" borderId="15"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right"/>
    </xf>
    <xf numFmtId="0" fontId="4" fillId="0" borderId="10" xfId="0" applyFont="1" applyBorder="1" applyAlignment="1">
      <alignment horizontal="right"/>
    </xf>
    <xf numFmtId="49" fontId="4" fillId="0" borderId="3" xfId="0" applyNumberFormat="1" applyFont="1" applyBorder="1"/>
    <xf numFmtId="0" fontId="17" fillId="0" borderId="0" xfId="0" applyFont="1" applyAlignment="1">
      <alignment vertical="center"/>
    </xf>
    <xf numFmtId="9" fontId="17" fillId="0" borderId="4" xfId="1" applyFont="1" applyBorder="1" applyAlignment="1">
      <alignment vertical="center"/>
    </xf>
    <xf numFmtId="0" fontId="18" fillId="0" borderId="0" xfId="1" applyNumberFormat="1" applyFont="1"/>
    <xf numFmtId="9" fontId="4" fillId="0" borderId="4" xfId="1" applyFont="1" applyBorder="1"/>
    <xf numFmtId="0" fontId="4" fillId="0" borderId="17" xfId="0" applyFont="1" applyBorder="1"/>
    <xf numFmtId="0" fontId="18" fillId="0" borderId="0" xfId="0" applyFont="1"/>
    <xf numFmtId="0" fontId="4" fillId="0" borderId="7" xfId="0" applyFont="1" applyBorder="1" applyAlignment="1">
      <alignment wrapText="1"/>
    </xf>
    <xf numFmtId="2" fontId="4" fillId="0" borderId="4" xfId="0" applyNumberFormat="1" applyFont="1" applyBorder="1"/>
    <xf numFmtId="164" fontId="4" fillId="0" borderId="6" xfId="0" applyNumberFormat="1" applyFont="1" applyBorder="1"/>
    <xf numFmtId="0" fontId="13" fillId="0" borderId="3" xfId="0" applyFont="1" applyBorder="1"/>
    <xf numFmtId="0" fontId="13" fillId="0" borderId="5" xfId="0" applyFont="1" applyBorder="1"/>
    <xf numFmtId="0" fontId="13" fillId="0" borderId="9" xfId="0" applyFont="1" applyBorder="1"/>
    <xf numFmtId="10" fontId="9" fillId="0" borderId="0" xfId="0" applyNumberFormat="1" applyFont="1"/>
    <xf numFmtId="0" fontId="13" fillId="0" borderId="7" xfId="0" applyFont="1" applyBorder="1" applyAlignment="1">
      <alignment wrapText="1"/>
    </xf>
    <xf numFmtId="0" fontId="13" fillId="0" borderId="7" xfId="0" applyFont="1" applyBorder="1"/>
    <xf numFmtId="0" fontId="13" fillId="0" borderId="4" xfId="0" applyFont="1" applyBorder="1"/>
    <xf numFmtId="0" fontId="9" fillId="0" borderId="0" xfId="1" applyNumberFormat="1" applyFont="1"/>
    <xf numFmtId="10" fontId="4" fillId="0" borderId="4" xfId="1" applyNumberFormat="1" applyFont="1" applyBorder="1"/>
    <xf numFmtId="2" fontId="4" fillId="0" borderId="8" xfId="0" applyNumberFormat="1" applyFont="1" applyBorder="1"/>
    <xf numFmtId="9" fontId="4" fillId="0" borderId="8" xfId="1" applyFont="1" applyBorder="1"/>
    <xf numFmtId="10" fontId="4" fillId="0" borderId="6" xfId="0" applyNumberFormat="1" applyFont="1" applyBorder="1"/>
    <xf numFmtId="0" fontId="9" fillId="0" borderId="18" xfId="0" applyFont="1" applyBorder="1" applyAlignment="1">
      <alignment wrapText="1"/>
    </xf>
    <xf numFmtId="0" fontId="9" fillId="0" borderId="3" xfId="0" applyFont="1" applyBorder="1"/>
    <xf numFmtId="0" fontId="9" fillId="0" borderId="7" xfId="0" applyFont="1" applyBorder="1"/>
    <xf numFmtId="0" fontId="9" fillId="0" borderId="5" xfId="0" applyFont="1" applyBorder="1"/>
    <xf numFmtId="0" fontId="9" fillId="0" borderId="3" xfId="0" applyFont="1" applyBorder="1" applyAlignment="1">
      <alignment wrapText="1"/>
    </xf>
    <xf numFmtId="0" fontId="9" fillId="0" borderId="7" xfId="0" applyFont="1" applyBorder="1" applyAlignment="1">
      <alignment wrapText="1"/>
    </xf>
    <xf numFmtId="0" fontId="9" fillId="0" borderId="9" xfId="0" applyFont="1" applyBorder="1"/>
    <xf numFmtId="9" fontId="4" fillId="0" borderId="6" xfId="0" applyNumberFormat="1" applyFont="1" applyBorder="1"/>
    <xf numFmtId="9" fontId="4" fillId="0" borderId="16" xfId="0" applyNumberFormat="1" applyFont="1" applyBorder="1"/>
    <xf numFmtId="9" fontId="4" fillId="0" borderId="16" xfId="0" applyNumberFormat="1" applyFont="1" applyBorder="1" applyAlignment="1">
      <alignment vertical="top"/>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2" fillId="10" borderId="0" xfId="0" applyFont="1" applyFill="1" applyAlignment="1">
      <alignment horizontal="left" wrapText="1"/>
    </xf>
    <xf numFmtId="0" fontId="10" fillId="2" borderId="3" xfId="0" applyFont="1" applyFill="1" applyBorder="1" applyAlignment="1">
      <alignment horizontal="left"/>
    </xf>
    <xf numFmtId="0" fontId="10" fillId="2" borderId="0" xfId="0" applyFont="1" applyFill="1" applyAlignment="1">
      <alignment horizontal="left"/>
    </xf>
    <xf numFmtId="0" fontId="10" fillId="2" borderId="4" xfId="0" applyFont="1" applyFill="1" applyBorder="1" applyAlignment="1">
      <alignment horizontal="left"/>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2" fillId="9" borderId="0" xfId="0" applyFont="1" applyFill="1" applyAlignment="1">
      <alignment horizontal="left"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414336</xdr:colOff>
      <xdr:row>21</xdr:row>
      <xdr:rowOff>76199</xdr:rowOff>
    </xdr:from>
    <xdr:to>
      <xdr:col>1</xdr:col>
      <xdr:colOff>251980</xdr:colOff>
      <xdr:row>24</xdr:row>
      <xdr:rowOff>20001</xdr:rowOff>
    </xdr:to>
    <xdr:pic>
      <xdr:nvPicPr>
        <xdr:cNvPr id="2" name="Billede 1" descr="Et billede, der indeholder cirkel, Grafik, design&#10;&#10;AI-genereret indhold kan være ukorrekt.">
          <a:extLst>
            <a:ext uri="{FF2B5EF4-FFF2-40B4-BE49-F238E27FC236}">
              <a16:creationId xmlns:a16="http://schemas.microsoft.com/office/drawing/2014/main" id="{E59B7282-380C-41A0-8559-C45CC9EE1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6" y="4119562"/>
          <a:ext cx="485344" cy="486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633413</xdr:colOff>
      <xdr:row>0</xdr:row>
      <xdr:rowOff>95249</xdr:rowOff>
    </xdr:from>
    <xdr:to>
      <xdr:col>7</xdr:col>
      <xdr:colOff>313894</xdr:colOff>
      <xdr:row>3</xdr:row>
      <xdr:rowOff>29526</xdr:rowOff>
    </xdr:to>
    <xdr:pic>
      <xdr:nvPicPr>
        <xdr:cNvPr id="3" name="Billede 2" descr="Et billede, der indeholder cirkel, Grafik, design&#10;&#10;AI-genereret indhold kan være ukorrekt.">
          <a:extLst>
            <a:ext uri="{FF2B5EF4-FFF2-40B4-BE49-F238E27FC236}">
              <a16:creationId xmlns:a16="http://schemas.microsoft.com/office/drawing/2014/main" id="{8F971784-15DA-4A3A-92FF-41C4C2639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3688" y="95249"/>
          <a:ext cx="485344" cy="486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447675</xdr:colOff>
      <xdr:row>1</xdr:row>
      <xdr:rowOff>166686</xdr:rowOff>
    </xdr:from>
    <xdr:to>
      <xdr:col>6</xdr:col>
      <xdr:colOff>285319</xdr:colOff>
      <xdr:row>4</xdr:row>
      <xdr:rowOff>105725</xdr:rowOff>
    </xdr:to>
    <xdr:pic>
      <xdr:nvPicPr>
        <xdr:cNvPr id="2" name="Billede 1" descr="Et billede, der indeholder cirkel, Grafik, design&#10;&#10;AI-genereret indhold kan være ukorrekt.">
          <a:extLst>
            <a:ext uri="{FF2B5EF4-FFF2-40B4-BE49-F238E27FC236}">
              <a16:creationId xmlns:a16="http://schemas.microsoft.com/office/drawing/2014/main" id="{BC4525B0-8D2F-4E34-B00B-7FB9E0BCAA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1513" y="347661"/>
          <a:ext cx="485344" cy="486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1976437</xdr:colOff>
      <xdr:row>2</xdr:row>
      <xdr:rowOff>147635</xdr:rowOff>
    </xdr:from>
    <xdr:to>
      <xdr:col>6</xdr:col>
      <xdr:colOff>318656</xdr:colOff>
      <xdr:row>5</xdr:row>
      <xdr:rowOff>72387</xdr:rowOff>
    </xdr:to>
    <xdr:pic>
      <xdr:nvPicPr>
        <xdr:cNvPr id="2" name="Billede 1" descr="Et billede, der indeholder cirkel, Grafik, design&#10;&#10;AI-genereret indhold kan være ukorrekt.">
          <a:extLst>
            <a:ext uri="{FF2B5EF4-FFF2-40B4-BE49-F238E27FC236}">
              <a16:creationId xmlns:a16="http://schemas.microsoft.com/office/drawing/2014/main" id="{04FF71D7-EF3E-461A-9285-758EB8563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3937" y="514348"/>
          <a:ext cx="485344" cy="486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441324</xdr:colOff>
      <xdr:row>1</xdr:row>
      <xdr:rowOff>105302</xdr:rowOff>
    </xdr:from>
    <xdr:to>
      <xdr:col>8</xdr:col>
      <xdr:colOff>278967</xdr:colOff>
      <xdr:row>4</xdr:row>
      <xdr:rowOff>35345</xdr:rowOff>
    </xdr:to>
    <xdr:pic>
      <xdr:nvPicPr>
        <xdr:cNvPr id="2" name="Billede 1" descr="Et billede, der indeholder cirkel, Grafik, design&#10;&#10;AI-genereret indhold kan være ukorrekt.">
          <a:extLst>
            <a:ext uri="{FF2B5EF4-FFF2-40B4-BE49-F238E27FC236}">
              <a16:creationId xmlns:a16="http://schemas.microsoft.com/office/drawing/2014/main" id="{5671E865-A731-4F21-B186-A45430BB1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0407" y="285219"/>
          <a:ext cx="483227" cy="485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1646236</xdr:colOff>
      <xdr:row>0</xdr:row>
      <xdr:rowOff>133877</xdr:rowOff>
    </xdr:from>
    <xdr:to>
      <xdr:col>6</xdr:col>
      <xdr:colOff>336117</xdr:colOff>
      <xdr:row>3</xdr:row>
      <xdr:rowOff>63920</xdr:rowOff>
    </xdr:to>
    <xdr:pic>
      <xdr:nvPicPr>
        <xdr:cNvPr id="3" name="Billede 2" descr="Et billede, der indeholder cirkel, Grafik, design&#10;&#10;AI-genereret indhold kan være ukorrekt.">
          <a:extLst>
            <a:ext uri="{FF2B5EF4-FFF2-40B4-BE49-F238E27FC236}">
              <a16:creationId xmlns:a16="http://schemas.microsoft.com/office/drawing/2014/main" id="{8B8E335C-8E73-4592-8A70-99C2D5D89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3299" y="133877"/>
          <a:ext cx="485343" cy="4872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kob Johannes Andersen Kjærside" id="{73CED143-91B9-4640-89D5-8AAB8BD5B51C}" userId="S::JJAK@DI.DK::835df6bd-5557-42b0-9a78-96525b7f704e"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6" dT="2025-06-30T08:04:38.48" personId="{73CED143-91B9-4640-89D5-8AAB8BD5B51C}" id="{0DFF9D79-4004-41FD-ACE8-094C7A983D47}">
    <text>Vælg mellem fastansat, midlertidig ansat (tidsbegrænset kontrakt), eller 0-timers kontrakt.</text>
  </threadedComment>
  <threadedComment ref="J6" dT="2025-06-30T08:05:13.31" personId="{73CED143-91B9-4640-89D5-8AAB8BD5B51C}" id="{731C6838-8070-495B-AAC9-3DF58542F784}">
    <text>Dato for fratrædelse indtastes, hvis medarbejderen har forladt virksomheden.</text>
  </threadedComment>
  <threadedComment ref="L6" dT="2025-06-30T08:05:34.02" personId="{73CED143-91B9-4640-89D5-8AAB8BD5B51C}" id="{F3271435-80B6-471C-A588-3B391D3A37B8}">
    <text>Værdien af den samlede kompensation for den enkelte medarbejder.</text>
  </threadedComment>
  <threadedComment ref="O6" dT="2025-06-30T08:06:35.73" personId="{73CED143-91B9-4640-89D5-8AAB8BD5B51C}" id="{B11F2C15-F77C-493A-8FCB-89E2205C461D}">
    <text>Her angives ’Ja’ hvis medarbejderen har gjort brug af orlov i perioden.</text>
  </threadedComment>
  <threadedComment ref="S6" dT="2025-06-30T08:07:12.35" personId="{73CED143-91B9-4640-89D5-8AAB8BD5B51C}" id="{8572BDCD-DF67-4BC4-9100-A88815BE753F}">
    <text>Antallet af gennemførte MUS eller performance-samtaler for perioden.</text>
  </threadedComment>
  <threadedComment ref="T6" dT="2025-06-30T08:07:27.07" personId="{73CED143-91B9-4640-89D5-8AAB8BD5B51C}" id="{15D1CBB0-4CAB-416D-B9E0-0B5BA0065451}">
    <text>Antallet af planlagt MUS / performance-samtaler for perioden.</text>
  </threadedComment>
  <threadedComment ref="U6" dT="2025-06-30T08:07:50.52" personId="{73CED143-91B9-4640-89D5-8AAB8BD5B51C}" id="{D22AEF42-8C1D-4C02-B464-8FCAC35494FA}">
    <text>Det samlede antal timer, den pågældende medarbejder har brugt på træning eller uddannelse for perioden.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FC73-D669-467B-B93B-BD62795A1237}">
  <dimension ref="A3:L24"/>
  <sheetViews>
    <sheetView workbookViewId="0">
      <selection activeCell="H16" sqref="H16"/>
    </sheetView>
  </sheetViews>
  <sheetFormatPr defaultRowHeight="14.25" x14ac:dyDescent="0.45"/>
  <cols>
    <col min="9" max="9" width="12.3984375" bestFit="1" customWidth="1"/>
  </cols>
  <sheetData>
    <row r="3" spans="1:12" ht="15.75" x14ac:dyDescent="0.65">
      <c r="A3" s="39"/>
      <c r="B3" s="39"/>
      <c r="C3" s="39"/>
      <c r="D3" s="39"/>
      <c r="E3" s="39"/>
      <c r="F3" s="39"/>
      <c r="G3" s="39"/>
      <c r="H3" s="39"/>
      <c r="I3" s="39"/>
      <c r="J3" s="39"/>
      <c r="K3" s="39"/>
      <c r="L3" s="39"/>
    </row>
    <row r="4" spans="1:12" s="41" customFormat="1" ht="19.899999999999999" x14ac:dyDescent="0.9">
      <c r="A4" s="40"/>
      <c r="B4" s="40" t="s">
        <v>11</v>
      </c>
      <c r="C4" s="40"/>
      <c r="D4" s="40" t="s">
        <v>90</v>
      </c>
      <c r="E4" s="40"/>
      <c r="F4" s="40" t="s">
        <v>26</v>
      </c>
      <c r="G4" s="40" t="s">
        <v>59</v>
      </c>
      <c r="H4" s="40"/>
      <c r="I4" s="40" t="s">
        <v>91</v>
      </c>
      <c r="J4" s="40"/>
      <c r="K4" s="40"/>
      <c r="L4" s="40"/>
    </row>
    <row r="5" spans="1:12" ht="15.75" x14ac:dyDescent="0.65">
      <c r="A5" s="39"/>
      <c r="B5" s="39" t="s">
        <v>12</v>
      </c>
      <c r="C5" s="39"/>
      <c r="D5" s="39" t="s">
        <v>6</v>
      </c>
      <c r="E5" s="39"/>
      <c r="F5" s="39" t="s">
        <v>6</v>
      </c>
      <c r="G5" s="39" t="s">
        <v>6</v>
      </c>
      <c r="H5" s="39"/>
      <c r="I5" s="39" t="s">
        <v>25</v>
      </c>
      <c r="J5" s="39"/>
      <c r="K5" s="39"/>
      <c r="L5" s="39"/>
    </row>
    <row r="6" spans="1:12" ht="15.75" x14ac:dyDescent="0.65">
      <c r="A6" s="39"/>
      <c r="B6" s="39" t="s">
        <v>13</v>
      </c>
      <c r="C6" s="39"/>
      <c r="D6" s="39" t="s">
        <v>7</v>
      </c>
      <c r="E6" s="39"/>
      <c r="F6" s="39" t="s">
        <v>7</v>
      </c>
      <c r="G6" s="39" t="s">
        <v>7</v>
      </c>
      <c r="H6" s="39"/>
      <c r="I6" s="39" t="s">
        <v>158</v>
      </c>
      <c r="J6" s="39"/>
      <c r="K6" s="39"/>
      <c r="L6" s="39"/>
    </row>
    <row r="7" spans="1:12" ht="15.75" x14ac:dyDescent="0.65">
      <c r="A7" s="39"/>
      <c r="B7" s="39" t="s">
        <v>14</v>
      </c>
      <c r="C7" s="39"/>
      <c r="D7" s="39"/>
      <c r="E7" s="39"/>
      <c r="F7" s="39"/>
      <c r="G7" s="39"/>
      <c r="H7" s="39"/>
      <c r="I7" s="39" t="s">
        <v>27</v>
      </c>
      <c r="J7" s="39"/>
      <c r="K7" s="39"/>
      <c r="L7" s="39"/>
    </row>
    <row r="8" spans="1:12" ht="15.75" x14ac:dyDescent="0.65">
      <c r="A8" s="39"/>
      <c r="B8" s="39" t="s">
        <v>15</v>
      </c>
      <c r="C8" s="39"/>
      <c r="D8" s="39"/>
      <c r="E8" s="39"/>
      <c r="F8" s="39"/>
      <c r="G8" s="39"/>
      <c r="H8" s="39"/>
      <c r="I8" s="39"/>
      <c r="J8" s="39"/>
      <c r="K8" s="39"/>
      <c r="L8" s="39"/>
    </row>
    <row r="9" spans="1:12" ht="15.75" x14ac:dyDescent="0.65">
      <c r="A9" s="39"/>
      <c r="B9" s="39"/>
      <c r="C9" s="39"/>
      <c r="D9" s="39"/>
      <c r="E9" s="39"/>
      <c r="F9" s="39"/>
      <c r="G9" s="39"/>
      <c r="H9" s="39"/>
      <c r="I9" s="39"/>
      <c r="J9" s="39"/>
      <c r="K9" s="39"/>
      <c r="L9" s="39"/>
    </row>
    <row r="10" spans="1:12" ht="15.75" x14ac:dyDescent="0.65">
      <c r="A10" s="39"/>
      <c r="B10" s="39"/>
      <c r="C10" s="39"/>
      <c r="D10" s="39"/>
      <c r="E10" s="39"/>
      <c r="F10" s="39"/>
      <c r="G10" s="39"/>
      <c r="H10" s="39"/>
      <c r="I10" s="39"/>
      <c r="J10" s="39"/>
      <c r="K10" s="39"/>
      <c r="L10" s="39"/>
    </row>
    <row r="11" spans="1:12" ht="15.75" x14ac:dyDescent="0.65">
      <c r="A11" s="39"/>
      <c r="B11" s="39"/>
      <c r="C11" s="39"/>
      <c r="D11" s="39"/>
      <c r="E11" s="39"/>
      <c r="F11" s="39"/>
      <c r="G11" s="39"/>
      <c r="H11" s="39"/>
      <c r="I11" s="39"/>
      <c r="J11" s="39"/>
      <c r="K11" s="39"/>
      <c r="L11" s="39"/>
    </row>
    <row r="12" spans="1:12" ht="15.75" x14ac:dyDescent="0.65">
      <c r="A12" s="39"/>
      <c r="B12" s="39"/>
      <c r="C12" s="39"/>
      <c r="D12" s="39"/>
      <c r="E12" s="39"/>
      <c r="F12" s="39"/>
      <c r="G12" s="39"/>
      <c r="H12" s="39"/>
      <c r="I12" s="39"/>
      <c r="J12" s="39"/>
      <c r="K12" s="39"/>
      <c r="L12" s="39"/>
    </row>
    <row r="23" spans="1:2" x14ac:dyDescent="0.45">
      <c r="A23" s="75"/>
      <c r="B23" s="75" t="s">
        <v>160</v>
      </c>
    </row>
    <row r="24" spans="1:2" x14ac:dyDescent="0.45">
      <c r="A24" s="75"/>
      <c r="B24" s="75" t="s">
        <v>161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7319-C27C-4303-B611-EFA3AA9EB61D}">
  <dimension ref="B1:Y34"/>
  <sheetViews>
    <sheetView showGridLines="0" zoomScaleNormal="100" workbookViewId="0">
      <selection activeCell="C14" sqref="C14"/>
    </sheetView>
  </sheetViews>
  <sheetFormatPr defaultRowHeight="14.25" x14ac:dyDescent="0.45"/>
  <cols>
    <col min="2" max="2" width="15" style="2" bestFit="1" customWidth="1"/>
    <col min="3" max="3" width="15.1328125" style="37" customWidth="1"/>
    <col min="5" max="5" width="22.265625" style="15" customWidth="1"/>
    <col min="6" max="6" width="13.59765625" style="37" bestFit="1" customWidth="1"/>
    <col min="7" max="7" width="11.265625" customWidth="1"/>
    <col min="8" max="8" width="18.73046875" bestFit="1" customWidth="1"/>
    <col min="9" max="9" width="11" bestFit="1" customWidth="1"/>
    <col min="10" max="10" width="19.3984375" bestFit="1" customWidth="1"/>
    <col min="11" max="11" width="17.86328125" customWidth="1"/>
    <col min="12" max="12" width="50.3984375" style="15" bestFit="1" customWidth="1"/>
    <col min="13" max="13" width="17.265625" customWidth="1"/>
    <col min="14" max="14" width="28" style="15" customWidth="1"/>
    <col min="15" max="15" width="15.3984375" bestFit="1" customWidth="1"/>
    <col min="16" max="16" width="35.3984375" customWidth="1"/>
    <col min="17" max="17" width="17.1328125" customWidth="1"/>
    <col min="18" max="18" width="11.3984375" style="15" customWidth="1"/>
    <col min="19" max="19" width="14.73046875" customWidth="1"/>
    <col min="20" max="20" width="19.73046875" bestFit="1" customWidth="1"/>
    <col min="21" max="21" width="26.73046875" style="3" bestFit="1" customWidth="1"/>
    <col min="22" max="22" width="13.3984375" customWidth="1"/>
    <col min="24" max="24" width="64.3984375" bestFit="1" customWidth="1"/>
  </cols>
  <sheetData>
    <row r="1" spans="2:25" ht="14.65" thickBot="1" x14ac:dyDescent="0.5">
      <c r="B1"/>
      <c r="C1"/>
      <c r="E1"/>
      <c r="F1"/>
      <c r="L1"/>
      <c r="N1"/>
      <c r="R1"/>
      <c r="U1"/>
    </row>
    <row r="2" spans="2:25" x14ac:dyDescent="0.45">
      <c r="B2" s="130" t="s">
        <v>95</v>
      </c>
      <c r="C2" s="131"/>
      <c r="D2" s="131"/>
      <c r="E2" s="132"/>
      <c r="F2"/>
      <c r="G2" s="75"/>
      <c r="H2" s="75" t="s">
        <v>160</v>
      </c>
      <c r="L2"/>
      <c r="N2"/>
      <c r="R2"/>
      <c r="U2"/>
    </row>
    <row r="3" spans="2:25" ht="14.65" thickBot="1" x14ac:dyDescent="0.5">
      <c r="B3" s="133"/>
      <c r="C3" s="134"/>
      <c r="D3" s="134"/>
      <c r="E3" s="135"/>
      <c r="F3"/>
      <c r="G3" s="75"/>
      <c r="H3" s="75" t="s">
        <v>161</v>
      </c>
      <c r="L3"/>
      <c r="N3"/>
      <c r="R3"/>
      <c r="U3"/>
    </row>
    <row r="4" spans="2:25" ht="14.65" thickBot="1" x14ac:dyDescent="0.5">
      <c r="B4"/>
      <c r="C4"/>
      <c r="E4"/>
      <c r="F4"/>
      <c r="L4"/>
      <c r="N4"/>
      <c r="R4"/>
      <c r="U4"/>
    </row>
    <row r="5" spans="2:25" x14ac:dyDescent="0.45">
      <c r="B5" s="16"/>
      <c r="C5" s="17"/>
      <c r="D5" s="17"/>
      <c r="E5" s="18"/>
      <c r="F5" s="19"/>
      <c r="G5" s="19"/>
      <c r="H5" s="19"/>
      <c r="I5" s="19"/>
      <c r="J5" s="19"/>
      <c r="K5" s="19"/>
      <c r="L5" s="20"/>
      <c r="M5" s="21"/>
      <c r="N5" s="22"/>
      <c r="O5" s="23"/>
      <c r="P5" s="23"/>
      <c r="Q5" s="23"/>
      <c r="R5" s="24"/>
      <c r="S5" s="25"/>
      <c r="T5" s="25"/>
      <c r="U5" s="26"/>
      <c r="W5" s="27"/>
      <c r="X5" s="28"/>
      <c r="Y5" s="29"/>
    </row>
    <row r="6" spans="2:25" s="46" customFormat="1" ht="16.899999999999999" thickBot="1" x14ac:dyDescent="0.8">
      <c r="B6" s="42" t="s">
        <v>87</v>
      </c>
      <c r="C6" s="43" t="s">
        <v>11</v>
      </c>
      <c r="D6" s="43" t="s">
        <v>89</v>
      </c>
      <c r="E6" s="44" t="s">
        <v>88</v>
      </c>
      <c r="F6" s="43" t="s">
        <v>107</v>
      </c>
      <c r="G6" s="43" t="s">
        <v>26</v>
      </c>
      <c r="H6" s="43" t="s">
        <v>91</v>
      </c>
      <c r="I6" s="43" t="s">
        <v>59</v>
      </c>
      <c r="J6" s="43" t="s">
        <v>92</v>
      </c>
      <c r="K6" s="43" t="s">
        <v>9</v>
      </c>
      <c r="L6" s="44" t="s">
        <v>8</v>
      </c>
      <c r="M6" s="43" t="s">
        <v>0</v>
      </c>
      <c r="N6" s="44" t="s">
        <v>1</v>
      </c>
      <c r="O6" s="43" t="s">
        <v>61</v>
      </c>
      <c r="P6" s="43" t="s">
        <v>3</v>
      </c>
      <c r="Q6" s="43" t="s">
        <v>2</v>
      </c>
      <c r="R6" s="44" t="s">
        <v>68</v>
      </c>
      <c r="S6" s="43" t="s">
        <v>108</v>
      </c>
      <c r="T6" s="43" t="s">
        <v>93</v>
      </c>
      <c r="U6" s="45" t="s">
        <v>94</v>
      </c>
      <c r="W6" s="47" t="s">
        <v>77</v>
      </c>
      <c r="X6" s="48" t="s">
        <v>96</v>
      </c>
      <c r="Y6" s="49"/>
    </row>
    <row r="7" spans="2:25" s="38" customFormat="1" ht="16.5" x14ac:dyDescent="0.75">
      <c r="B7" s="50">
        <v>1</v>
      </c>
      <c r="C7" s="51" t="s">
        <v>12</v>
      </c>
      <c r="D7" s="52">
        <v>29</v>
      </c>
      <c r="E7" s="53" t="s">
        <v>44</v>
      </c>
      <c r="F7" s="51" t="s">
        <v>6</v>
      </c>
      <c r="G7" s="52" t="s">
        <v>6</v>
      </c>
      <c r="H7" s="52" t="s">
        <v>25</v>
      </c>
      <c r="I7" s="52" t="s">
        <v>6</v>
      </c>
      <c r="J7" s="52"/>
      <c r="K7" s="54">
        <f>30000/22/7.5</f>
        <v>181.81818181818184</v>
      </c>
      <c r="L7" s="53">
        <v>563000</v>
      </c>
      <c r="M7" s="52" t="s">
        <v>6</v>
      </c>
      <c r="N7" s="53" t="s">
        <v>6</v>
      </c>
      <c r="O7" s="52" t="s">
        <v>6</v>
      </c>
      <c r="P7" s="52">
        <v>300</v>
      </c>
      <c r="Q7" s="52">
        <v>5</v>
      </c>
      <c r="R7" s="53" t="s">
        <v>6</v>
      </c>
      <c r="S7" s="52">
        <v>1</v>
      </c>
      <c r="T7" s="52">
        <v>2</v>
      </c>
      <c r="U7" s="55">
        <v>8</v>
      </c>
      <c r="W7" s="56" t="s">
        <v>10</v>
      </c>
      <c r="X7" s="38" t="s">
        <v>71</v>
      </c>
      <c r="Y7" s="57">
        <v>10</v>
      </c>
    </row>
    <row r="8" spans="2:25" s="38" customFormat="1" ht="16.5" x14ac:dyDescent="0.75">
      <c r="B8" s="50">
        <v>2</v>
      </c>
      <c r="C8" s="51" t="s">
        <v>13</v>
      </c>
      <c r="D8" s="52">
        <v>30</v>
      </c>
      <c r="E8" s="53" t="s">
        <v>44</v>
      </c>
      <c r="F8" s="51" t="s">
        <v>6</v>
      </c>
      <c r="G8" s="52" t="s">
        <v>6</v>
      </c>
      <c r="H8" s="52" t="s">
        <v>158</v>
      </c>
      <c r="I8" s="52" t="s">
        <v>6</v>
      </c>
      <c r="J8" s="52"/>
      <c r="K8" s="54">
        <v>272</v>
      </c>
      <c r="L8" s="53">
        <v>803000</v>
      </c>
      <c r="M8" s="52" t="s">
        <v>6</v>
      </c>
      <c r="N8" s="53" t="s">
        <v>6</v>
      </c>
      <c r="O8" s="52" t="s">
        <v>7</v>
      </c>
      <c r="P8" s="52">
        <v>5</v>
      </c>
      <c r="Q8" s="52">
        <v>17</v>
      </c>
      <c r="R8" s="53" t="s">
        <v>7</v>
      </c>
      <c r="S8" s="52">
        <v>0</v>
      </c>
      <c r="T8" s="52">
        <v>2</v>
      </c>
      <c r="U8" s="55">
        <v>10</v>
      </c>
      <c r="W8" s="56" t="s">
        <v>33</v>
      </c>
      <c r="X8" s="38" t="s">
        <v>37</v>
      </c>
      <c r="Y8" s="57">
        <v>7</v>
      </c>
    </row>
    <row r="9" spans="2:25" s="38" customFormat="1" ht="16.5" x14ac:dyDescent="0.75">
      <c r="B9" s="50">
        <v>3</v>
      </c>
      <c r="C9" s="51" t="s">
        <v>13</v>
      </c>
      <c r="D9" s="52">
        <v>50</v>
      </c>
      <c r="E9" s="53" t="s">
        <v>44</v>
      </c>
      <c r="F9" s="51" t="s">
        <v>6</v>
      </c>
      <c r="G9" s="52" t="s">
        <v>7</v>
      </c>
      <c r="H9" s="52" t="s">
        <v>27</v>
      </c>
      <c r="I9" s="52" t="s">
        <v>6</v>
      </c>
      <c r="J9" s="52"/>
      <c r="K9" s="54">
        <v>150</v>
      </c>
      <c r="L9" s="53">
        <v>430000</v>
      </c>
      <c r="M9" s="52" t="s">
        <v>6</v>
      </c>
      <c r="N9" s="53" t="s">
        <v>7</v>
      </c>
      <c r="O9" s="52" t="s">
        <v>6</v>
      </c>
      <c r="P9" s="52">
        <v>5</v>
      </c>
      <c r="Q9" s="52">
        <v>10</v>
      </c>
      <c r="R9" s="53" t="s">
        <v>7</v>
      </c>
      <c r="S9" s="52">
        <v>2</v>
      </c>
      <c r="T9" s="52">
        <v>2</v>
      </c>
      <c r="U9" s="55">
        <v>2</v>
      </c>
      <c r="W9" s="56" t="s">
        <v>78</v>
      </c>
      <c r="X9" s="38" t="s">
        <v>72</v>
      </c>
      <c r="Y9" s="57">
        <v>0</v>
      </c>
    </row>
    <row r="10" spans="2:25" s="38" customFormat="1" ht="16.5" x14ac:dyDescent="0.75">
      <c r="B10" s="50">
        <v>4</v>
      </c>
      <c r="C10" s="51" t="s">
        <v>12</v>
      </c>
      <c r="D10" s="52">
        <v>51</v>
      </c>
      <c r="E10" s="53" t="s">
        <v>44</v>
      </c>
      <c r="F10" s="51" t="s">
        <v>6</v>
      </c>
      <c r="G10" s="52" t="s">
        <v>7</v>
      </c>
      <c r="H10" s="52" t="s">
        <v>25</v>
      </c>
      <c r="I10" s="52" t="s">
        <v>6</v>
      </c>
      <c r="J10" s="52" t="s">
        <v>4</v>
      </c>
      <c r="K10" s="54">
        <v>120</v>
      </c>
      <c r="L10" s="53">
        <v>200000</v>
      </c>
      <c r="M10" s="52" t="s">
        <v>6</v>
      </c>
      <c r="N10" s="53" t="s">
        <v>6</v>
      </c>
      <c r="O10" s="52" t="s">
        <v>6</v>
      </c>
      <c r="P10" s="52">
        <v>0</v>
      </c>
      <c r="Q10" s="52">
        <v>4</v>
      </c>
      <c r="R10" s="53" t="s">
        <v>7</v>
      </c>
      <c r="S10" s="52">
        <v>0</v>
      </c>
      <c r="T10" s="52">
        <v>2</v>
      </c>
      <c r="U10" s="55">
        <v>3</v>
      </c>
      <c r="W10" s="56" t="s">
        <v>78</v>
      </c>
      <c r="X10" s="38" t="s">
        <v>74</v>
      </c>
      <c r="Y10" s="57">
        <v>4</v>
      </c>
    </row>
    <row r="11" spans="2:25" s="38" customFormat="1" ht="16.5" x14ac:dyDescent="0.75">
      <c r="B11" s="50">
        <v>5</v>
      </c>
      <c r="C11" s="51" t="s">
        <v>14</v>
      </c>
      <c r="D11" s="52">
        <v>51</v>
      </c>
      <c r="E11" s="53" t="s">
        <v>44</v>
      </c>
      <c r="F11" s="51" t="s">
        <v>6</v>
      </c>
      <c r="G11" s="52" t="s">
        <v>6</v>
      </c>
      <c r="H11" s="52" t="s">
        <v>25</v>
      </c>
      <c r="I11" s="52" t="s">
        <v>6</v>
      </c>
      <c r="J11" s="52"/>
      <c r="K11" s="54">
        <v>125</v>
      </c>
      <c r="L11" s="53">
        <v>230000</v>
      </c>
      <c r="M11" s="52" t="s">
        <v>6</v>
      </c>
      <c r="N11" s="53" t="s">
        <v>6</v>
      </c>
      <c r="O11" s="52" t="s">
        <v>7</v>
      </c>
      <c r="P11" s="52">
        <v>200</v>
      </c>
      <c r="Q11" s="52">
        <v>90</v>
      </c>
      <c r="R11" s="53" t="s">
        <v>7</v>
      </c>
      <c r="S11" s="52">
        <v>2</v>
      </c>
      <c r="T11" s="52">
        <v>2</v>
      </c>
      <c r="U11" s="55">
        <v>7</v>
      </c>
      <c r="W11" s="56" t="s">
        <v>78</v>
      </c>
      <c r="X11" s="38" t="s">
        <v>105</v>
      </c>
      <c r="Y11" s="57">
        <v>32</v>
      </c>
    </row>
    <row r="12" spans="2:25" s="38" customFormat="1" ht="16.5" x14ac:dyDescent="0.75">
      <c r="B12" s="50">
        <v>6</v>
      </c>
      <c r="C12" s="51" t="s">
        <v>15</v>
      </c>
      <c r="D12" s="52">
        <v>51</v>
      </c>
      <c r="E12" s="53" t="s">
        <v>44</v>
      </c>
      <c r="F12" s="51" t="s">
        <v>6</v>
      </c>
      <c r="G12" s="52" t="s">
        <v>6</v>
      </c>
      <c r="H12" s="52" t="s">
        <v>27</v>
      </c>
      <c r="I12" s="52" t="s">
        <v>60</v>
      </c>
      <c r="J12" s="52"/>
      <c r="K12" s="54">
        <v>125</v>
      </c>
      <c r="L12" s="53">
        <v>140000</v>
      </c>
      <c r="M12" s="52" t="s">
        <v>6</v>
      </c>
      <c r="N12" s="53" t="s">
        <v>6</v>
      </c>
      <c r="O12" s="52" t="s">
        <v>6</v>
      </c>
      <c r="P12" s="52">
        <v>169</v>
      </c>
      <c r="Q12" s="52">
        <v>0</v>
      </c>
      <c r="R12" s="53" t="s">
        <v>7</v>
      </c>
      <c r="S12" s="52">
        <v>1</v>
      </c>
      <c r="T12" s="52">
        <v>2</v>
      </c>
      <c r="U12" s="55">
        <v>10</v>
      </c>
      <c r="W12" s="56" t="s">
        <v>78</v>
      </c>
      <c r="X12" s="38" t="s">
        <v>159</v>
      </c>
      <c r="Y12" s="57">
        <v>123348</v>
      </c>
    </row>
    <row r="13" spans="2:25" s="38" customFormat="1" ht="16.5" x14ac:dyDescent="0.75">
      <c r="B13" s="50">
        <v>7</v>
      </c>
      <c r="C13" s="51" t="s">
        <v>12</v>
      </c>
      <c r="D13" s="52">
        <v>51</v>
      </c>
      <c r="E13" s="53" t="s">
        <v>44</v>
      </c>
      <c r="F13" s="51" t="s">
        <v>6</v>
      </c>
      <c r="G13" s="52" t="s">
        <v>7</v>
      </c>
      <c r="H13" s="52" t="s">
        <v>158</v>
      </c>
      <c r="I13" s="52" t="s">
        <v>60</v>
      </c>
      <c r="J13" s="52" t="s">
        <v>5</v>
      </c>
      <c r="K13" s="54">
        <v>130</v>
      </c>
      <c r="L13" s="53">
        <v>200000</v>
      </c>
      <c r="M13" s="52" t="s">
        <v>6</v>
      </c>
      <c r="N13" s="53" t="s">
        <v>6</v>
      </c>
      <c r="O13" s="52" t="s">
        <v>6</v>
      </c>
      <c r="P13" s="52">
        <v>0</v>
      </c>
      <c r="Q13" s="52">
        <v>26</v>
      </c>
      <c r="R13" s="53" t="s">
        <v>6</v>
      </c>
      <c r="S13" s="52">
        <v>2</v>
      </c>
      <c r="T13" s="52">
        <v>2</v>
      </c>
      <c r="U13" s="55">
        <v>5</v>
      </c>
      <c r="W13" s="56" t="s">
        <v>79</v>
      </c>
      <c r="X13" s="38" t="s">
        <v>73</v>
      </c>
      <c r="Y13" s="57">
        <v>0</v>
      </c>
    </row>
    <row r="14" spans="2:25" s="38" customFormat="1" ht="16.5" x14ac:dyDescent="0.75">
      <c r="B14" s="50">
        <v>8</v>
      </c>
      <c r="C14" s="51" t="s">
        <v>14</v>
      </c>
      <c r="D14" s="52">
        <v>51</v>
      </c>
      <c r="E14" s="53" t="s">
        <v>44</v>
      </c>
      <c r="F14" s="51" t="s">
        <v>6</v>
      </c>
      <c r="G14" s="52" t="s">
        <v>7</v>
      </c>
      <c r="H14" s="52" t="s">
        <v>27</v>
      </c>
      <c r="I14" s="52" t="s">
        <v>60</v>
      </c>
      <c r="J14" s="52"/>
      <c r="K14" s="54">
        <v>600</v>
      </c>
      <c r="L14" s="53">
        <v>1600000</v>
      </c>
      <c r="M14" s="52" t="s">
        <v>6</v>
      </c>
      <c r="N14" s="53" t="s">
        <v>7</v>
      </c>
      <c r="O14" s="52" t="s">
        <v>7</v>
      </c>
      <c r="P14" s="52">
        <v>0</v>
      </c>
      <c r="Q14" s="52">
        <v>68</v>
      </c>
      <c r="R14" s="53" t="s">
        <v>7</v>
      </c>
      <c r="S14" s="52">
        <v>1</v>
      </c>
      <c r="T14" s="52">
        <v>1</v>
      </c>
      <c r="U14" s="55">
        <v>8</v>
      </c>
      <c r="W14" s="56" t="s">
        <v>79</v>
      </c>
      <c r="X14" s="38" t="s">
        <v>75</v>
      </c>
      <c r="Y14" s="57">
        <v>0</v>
      </c>
    </row>
    <row r="15" spans="2:25" s="38" customFormat="1" ht="16.5" x14ac:dyDescent="0.75">
      <c r="B15" s="50">
        <v>9</v>
      </c>
      <c r="C15" s="51" t="s">
        <v>15</v>
      </c>
      <c r="D15" s="52">
        <v>51</v>
      </c>
      <c r="E15" s="53" t="s">
        <v>44</v>
      </c>
      <c r="F15" s="51" t="s">
        <v>6</v>
      </c>
      <c r="G15" s="52" t="s">
        <v>6</v>
      </c>
      <c r="H15" s="52" t="s">
        <v>158</v>
      </c>
      <c r="I15" s="52" t="s">
        <v>6</v>
      </c>
      <c r="J15" s="52"/>
      <c r="K15" s="54">
        <v>450</v>
      </c>
      <c r="L15" s="53">
        <v>1200000</v>
      </c>
      <c r="M15" s="52" t="s">
        <v>6</v>
      </c>
      <c r="N15" s="53" t="s">
        <v>6</v>
      </c>
      <c r="O15" s="52" t="s">
        <v>6</v>
      </c>
      <c r="P15" s="52">
        <v>0</v>
      </c>
      <c r="Q15" s="52">
        <v>38</v>
      </c>
      <c r="R15" s="53" t="s">
        <v>7</v>
      </c>
      <c r="S15" s="52">
        <v>1</v>
      </c>
      <c r="T15" s="52">
        <v>2</v>
      </c>
      <c r="U15" s="55">
        <v>3</v>
      </c>
      <c r="W15" s="56" t="s">
        <v>79</v>
      </c>
      <c r="X15" s="38" t="s">
        <v>80</v>
      </c>
      <c r="Y15" s="57">
        <v>1</v>
      </c>
    </row>
    <row r="16" spans="2:25" s="38" customFormat="1" ht="16.899999999999999" thickBot="1" x14ac:dyDescent="0.8">
      <c r="B16" s="50">
        <v>10</v>
      </c>
      <c r="C16" s="51" t="s">
        <v>13</v>
      </c>
      <c r="D16" s="52">
        <v>51</v>
      </c>
      <c r="E16" s="53" t="s">
        <v>44</v>
      </c>
      <c r="F16" s="51" t="s">
        <v>6</v>
      </c>
      <c r="G16" s="52" t="s">
        <v>6</v>
      </c>
      <c r="H16" s="52" t="s">
        <v>158</v>
      </c>
      <c r="I16" s="52" t="s">
        <v>60</v>
      </c>
      <c r="J16" s="52"/>
      <c r="K16" s="54">
        <v>272</v>
      </c>
      <c r="L16" s="53">
        <v>800000</v>
      </c>
      <c r="M16" s="52" t="s">
        <v>6</v>
      </c>
      <c r="N16" s="53" t="s">
        <v>6</v>
      </c>
      <c r="O16" s="52" t="s">
        <v>7</v>
      </c>
      <c r="P16" s="52">
        <v>0</v>
      </c>
      <c r="Q16" s="52">
        <v>20</v>
      </c>
      <c r="R16" s="53" t="s">
        <v>7</v>
      </c>
      <c r="S16" s="52">
        <v>1</v>
      </c>
      <c r="T16" s="52">
        <v>1</v>
      </c>
      <c r="U16" s="55">
        <v>2</v>
      </c>
      <c r="W16" s="58" t="s">
        <v>79</v>
      </c>
      <c r="X16" s="59" t="s">
        <v>76</v>
      </c>
      <c r="Y16" s="60">
        <v>150000</v>
      </c>
    </row>
    <row r="17" spans="2:21" s="38" customFormat="1" ht="16.5" x14ac:dyDescent="0.75">
      <c r="B17" s="50">
        <v>11</v>
      </c>
      <c r="C17" s="51" t="s">
        <v>12</v>
      </c>
      <c r="D17" s="52">
        <v>51</v>
      </c>
      <c r="E17" s="53"/>
      <c r="F17" s="51" t="s">
        <v>7</v>
      </c>
      <c r="G17" s="52"/>
      <c r="H17" s="52"/>
      <c r="I17" s="52"/>
      <c r="J17" s="52"/>
      <c r="K17" s="52"/>
      <c r="L17" s="53"/>
      <c r="M17" s="52" t="s">
        <v>6</v>
      </c>
      <c r="N17" s="53"/>
      <c r="O17" s="52"/>
      <c r="P17" s="52"/>
      <c r="Q17" s="52"/>
      <c r="R17" s="53"/>
      <c r="S17" s="52">
        <v>1</v>
      </c>
      <c r="T17" s="52"/>
      <c r="U17" s="55"/>
    </row>
    <row r="18" spans="2:21" s="38" customFormat="1" ht="16.5" x14ac:dyDescent="0.75">
      <c r="B18" s="50">
        <v>12</v>
      </c>
      <c r="C18" s="51" t="s">
        <v>13</v>
      </c>
      <c r="D18" s="52">
        <v>51</v>
      </c>
      <c r="E18" s="53"/>
      <c r="F18" s="51" t="s">
        <v>7</v>
      </c>
      <c r="G18" s="52"/>
      <c r="H18" s="52"/>
      <c r="I18" s="52"/>
      <c r="J18" s="52"/>
      <c r="K18" s="52"/>
      <c r="L18" s="53"/>
      <c r="M18" s="52" t="s">
        <v>6</v>
      </c>
      <c r="N18" s="53"/>
      <c r="O18" s="52"/>
      <c r="P18" s="52"/>
      <c r="Q18" s="52"/>
      <c r="R18" s="53"/>
      <c r="S18" s="52">
        <v>1</v>
      </c>
      <c r="T18" s="52"/>
      <c r="U18" s="55"/>
    </row>
    <row r="19" spans="2:21" s="38" customFormat="1" ht="16.5" x14ac:dyDescent="0.75">
      <c r="B19" s="50">
        <v>13</v>
      </c>
      <c r="C19" s="51" t="s">
        <v>13</v>
      </c>
      <c r="D19" s="52">
        <v>51</v>
      </c>
      <c r="E19" s="53"/>
      <c r="F19" s="51" t="s">
        <v>7</v>
      </c>
      <c r="G19" s="52"/>
      <c r="H19" s="52"/>
      <c r="I19" s="52"/>
      <c r="J19" s="52"/>
      <c r="K19" s="52"/>
      <c r="L19" s="53"/>
      <c r="M19" s="52"/>
      <c r="N19" s="53"/>
      <c r="O19" s="52"/>
      <c r="P19" s="52"/>
      <c r="Q19" s="52"/>
      <c r="R19" s="53"/>
      <c r="S19" s="52">
        <v>1</v>
      </c>
      <c r="T19" s="52"/>
      <c r="U19" s="55"/>
    </row>
    <row r="20" spans="2:21" s="38" customFormat="1" ht="16.5" x14ac:dyDescent="0.75">
      <c r="B20" s="50">
        <v>14</v>
      </c>
      <c r="C20" s="51" t="s">
        <v>12</v>
      </c>
      <c r="D20" s="52">
        <v>16</v>
      </c>
      <c r="E20" s="53"/>
      <c r="F20" s="51" t="s">
        <v>7</v>
      </c>
      <c r="G20" s="52"/>
      <c r="H20" s="52"/>
      <c r="I20" s="52"/>
      <c r="J20" s="52"/>
      <c r="K20" s="52"/>
      <c r="L20" s="53"/>
      <c r="M20" s="52"/>
      <c r="N20" s="53"/>
      <c r="O20" s="52"/>
      <c r="P20" s="52"/>
      <c r="Q20" s="52"/>
      <c r="R20" s="53"/>
      <c r="S20" s="52">
        <v>1</v>
      </c>
      <c r="T20" s="52"/>
      <c r="U20" s="55"/>
    </row>
    <row r="21" spans="2:21" s="38" customFormat="1" ht="16.5" x14ac:dyDescent="0.75">
      <c r="B21" s="50">
        <v>15</v>
      </c>
      <c r="C21" s="51" t="s">
        <v>14</v>
      </c>
      <c r="D21" s="52">
        <v>57</v>
      </c>
      <c r="E21" s="53"/>
      <c r="F21" s="51" t="s">
        <v>7</v>
      </c>
      <c r="G21" s="52"/>
      <c r="H21" s="52"/>
      <c r="I21" s="52"/>
      <c r="J21" s="52"/>
      <c r="K21" s="52"/>
      <c r="L21" s="53"/>
      <c r="M21" s="52"/>
      <c r="N21" s="53"/>
      <c r="O21" s="52"/>
      <c r="P21" s="52"/>
      <c r="Q21" s="52"/>
      <c r="R21" s="53"/>
      <c r="S21" s="52">
        <v>1</v>
      </c>
      <c r="T21" s="52"/>
      <c r="U21" s="55"/>
    </row>
    <row r="22" spans="2:21" s="38" customFormat="1" ht="16.5" x14ac:dyDescent="0.75">
      <c r="B22" s="50">
        <v>16</v>
      </c>
      <c r="C22" s="51" t="s">
        <v>15</v>
      </c>
      <c r="D22" s="52">
        <v>39</v>
      </c>
      <c r="E22" s="53"/>
      <c r="F22" s="51" t="s">
        <v>7</v>
      </c>
      <c r="G22" s="52"/>
      <c r="H22" s="52"/>
      <c r="I22" s="52"/>
      <c r="J22" s="52"/>
      <c r="K22" s="52"/>
      <c r="L22" s="53"/>
      <c r="M22" s="52"/>
      <c r="N22" s="53"/>
      <c r="O22" s="52"/>
      <c r="P22" s="52"/>
      <c r="Q22" s="52"/>
      <c r="R22" s="53"/>
      <c r="S22" s="52">
        <v>1</v>
      </c>
      <c r="T22" s="52"/>
      <c r="U22" s="55"/>
    </row>
    <row r="23" spans="2:21" s="38" customFormat="1" ht="16.5" x14ac:dyDescent="0.75">
      <c r="B23" s="50">
        <v>17</v>
      </c>
      <c r="C23" s="51" t="s">
        <v>12</v>
      </c>
      <c r="D23" s="52">
        <v>18</v>
      </c>
      <c r="E23" s="53"/>
      <c r="F23" s="51" t="s">
        <v>7</v>
      </c>
      <c r="G23" s="52"/>
      <c r="H23" s="52"/>
      <c r="I23" s="52"/>
      <c r="J23" s="52"/>
      <c r="K23" s="52"/>
      <c r="L23" s="53"/>
      <c r="M23" s="52"/>
      <c r="N23" s="53"/>
      <c r="O23" s="52"/>
      <c r="P23" s="52"/>
      <c r="Q23" s="52"/>
      <c r="R23" s="53"/>
      <c r="S23" s="52">
        <v>1</v>
      </c>
      <c r="T23" s="52"/>
      <c r="U23" s="55"/>
    </row>
    <row r="24" spans="2:21" s="38" customFormat="1" ht="16.5" x14ac:dyDescent="0.75">
      <c r="B24" s="50">
        <v>18</v>
      </c>
      <c r="C24" s="51" t="s">
        <v>14</v>
      </c>
      <c r="D24" s="52">
        <v>18</v>
      </c>
      <c r="E24" s="53"/>
      <c r="F24" s="51" t="s">
        <v>7</v>
      </c>
      <c r="G24" s="52"/>
      <c r="H24" s="52"/>
      <c r="I24" s="52"/>
      <c r="J24" s="52"/>
      <c r="K24" s="52"/>
      <c r="L24" s="53"/>
      <c r="M24" s="52"/>
      <c r="N24" s="53"/>
      <c r="O24" s="52"/>
      <c r="P24" s="52"/>
      <c r="Q24" s="52"/>
      <c r="R24" s="53"/>
      <c r="S24" s="52">
        <v>1</v>
      </c>
      <c r="T24" s="52"/>
      <c r="U24" s="55"/>
    </row>
    <row r="25" spans="2:21" s="38" customFormat="1" ht="16.5" x14ac:dyDescent="0.75">
      <c r="B25" s="50">
        <v>19</v>
      </c>
      <c r="C25" s="51" t="s">
        <v>15</v>
      </c>
      <c r="D25" s="52">
        <v>47</v>
      </c>
      <c r="E25" s="53"/>
      <c r="F25" s="51" t="s">
        <v>7</v>
      </c>
      <c r="G25" s="52"/>
      <c r="H25" s="52"/>
      <c r="I25" s="52"/>
      <c r="J25" s="52"/>
      <c r="K25" s="52"/>
      <c r="L25" s="53"/>
      <c r="M25" s="52"/>
      <c r="N25" s="53"/>
      <c r="O25" s="52"/>
      <c r="P25" s="52"/>
      <c r="Q25" s="52"/>
      <c r="R25" s="53"/>
      <c r="S25" s="52">
        <v>1</v>
      </c>
      <c r="T25" s="52"/>
      <c r="U25" s="55"/>
    </row>
    <row r="26" spans="2:21" s="38" customFormat="1" ht="16.5" x14ac:dyDescent="0.75">
      <c r="B26" s="50">
        <v>20</v>
      </c>
      <c r="C26" s="51" t="s">
        <v>13</v>
      </c>
      <c r="D26" s="52">
        <v>37</v>
      </c>
      <c r="E26" s="53"/>
      <c r="F26" s="51" t="s">
        <v>7</v>
      </c>
      <c r="G26" s="52"/>
      <c r="H26" s="52"/>
      <c r="I26" s="52"/>
      <c r="J26" s="52"/>
      <c r="K26" s="52"/>
      <c r="L26" s="53"/>
      <c r="M26" s="52"/>
      <c r="N26" s="53"/>
      <c r="O26" s="52"/>
      <c r="P26" s="52"/>
      <c r="Q26" s="52"/>
      <c r="R26" s="53"/>
      <c r="S26" s="52">
        <v>1</v>
      </c>
      <c r="T26" s="52"/>
      <c r="U26" s="55"/>
    </row>
    <row r="27" spans="2:21" s="38" customFormat="1" ht="16.5" x14ac:dyDescent="0.75">
      <c r="B27" s="50">
        <v>21</v>
      </c>
      <c r="C27" s="51" t="s">
        <v>15</v>
      </c>
      <c r="D27" s="52">
        <v>82</v>
      </c>
      <c r="E27" s="53"/>
      <c r="F27" s="51" t="s">
        <v>7</v>
      </c>
      <c r="G27" s="52"/>
      <c r="H27" s="52"/>
      <c r="I27" s="52"/>
      <c r="J27" s="52"/>
      <c r="K27" s="52"/>
      <c r="L27" s="53"/>
      <c r="M27" s="52"/>
      <c r="N27" s="53"/>
      <c r="O27" s="52"/>
      <c r="P27" s="52"/>
      <c r="Q27" s="52"/>
      <c r="R27" s="53"/>
      <c r="S27" s="52">
        <v>1</v>
      </c>
      <c r="T27" s="52"/>
      <c r="U27" s="55"/>
    </row>
    <row r="28" spans="2:21" s="38" customFormat="1" ht="16.5" x14ac:dyDescent="0.75">
      <c r="B28" s="50">
        <v>22</v>
      </c>
      <c r="C28" s="51" t="s">
        <v>13</v>
      </c>
      <c r="D28" s="52">
        <v>38</v>
      </c>
      <c r="E28" s="53"/>
      <c r="F28" s="51" t="s">
        <v>7</v>
      </c>
      <c r="G28" s="52"/>
      <c r="H28" s="52"/>
      <c r="I28" s="52"/>
      <c r="J28" s="52"/>
      <c r="K28" s="52"/>
      <c r="L28" s="53"/>
      <c r="M28" s="52"/>
      <c r="N28" s="53"/>
      <c r="O28" s="52"/>
      <c r="P28" s="52"/>
      <c r="Q28" s="52"/>
      <c r="R28" s="53"/>
      <c r="S28" s="52">
        <v>1</v>
      </c>
      <c r="T28" s="52"/>
      <c r="U28" s="55"/>
    </row>
    <row r="29" spans="2:21" s="38" customFormat="1" ht="16.5" x14ac:dyDescent="0.75">
      <c r="B29" s="50">
        <v>23</v>
      </c>
      <c r="C29" s="51"/>
      <c r="D29" s="52"/>
      <c r="E29" s="53"/>
      <c r="F29" s="51"/>
      <c r="G29" s="52"/>
      <c r="H29" s="52"/>
      <c r="I29" s="52"/>
      <c r="J29" s="52"/>
      <c r="K29" s="52"/>
      <c r="L29" s="53"/>
      <c r="M29" s="52"/>
      <c r="N29" s="53"/>
      <c r="O29" s="52"/>
      <c r="P29" s="52"/>
      <c r="Q29" s="52"/>
      <c r="R29" s="53"/>
      <c r="S29" s="52">
        <v>1</v>
      </c>
      <c r="T29" s="52"/>
      <c r="U29" s="55"/>
    </row>
    <row r="30" spans="2:21" s="38" customFormat="1" ht="16.5" x14ac:dyDescent="0.75">
      <c r="B30" s="50">
        <v>24</v>
      </c>
      <c r="C30" s="51"/>
      <c r="D30" s="52"/>
      <c r="E30" s="53"/>
      <c r="F30" s="51"/>
      <c r="G30" s="52"/>
      <c r="H30" s="52"/>
      <c r="I30" s="52"/>
      <c r="J30" s="52"/>
      <c r="K30" s="52"/>
      <c r="L30" s="53"/>
      <c r="M30" s="52"/>
      <c r="N30" s="53"/>
      <c r="O30" s="52"/>
      <c r="P30" s="52"/>
      <c r="Q30" s="52"/>
      <c r="R30" s="53"/>
      <c r="S30" s="52">
        <v>1</v>
      </c>
      <c r="T30" s="52"/>
      <c r="U30" s="55"/>
    </row>
    <row r="31" spans="2:21" s="38" customFormat="1" ht="16.5" x14ac:dyDescent="0.75">
      <c r="B31" s="50">
        <v>25</v>
      </c>
      <c r="C31" s="51"/>
      <c r="D31" s="52"/>
      <c r="E31" s="53"/>
      <c r="F31" s="51"/>
      <c r="G31" s="52"/>
      <c r="H31" s="52"/>
      <c r="I31" s="52"/>
      <c r="J31" s="52"/>
      <c r="K31" s="52"/>
      <c r="L31" s="53"/>
      <c r="M31" s="52"/>
      <c r="N31" s="53"/>
      <c r="O31" s="52"/>
      <c r="P31" s="52"/>
      <c r="Q31" s="52"/>
      <c r="R31" s="53"/>
      <c r="S31" s="52">
        <v>1</v>
      </c>
      <c r="T31" s="52"/>
      <c r="U31" s="55"/>
    </row>
    <row r="32" spans="2:21" s="38" customFormat="1" ht="16.5" x14ac:dyDescent="0.75">
      <c r="B32" s="61"/>
      <c r="C32" s="62"/>
      <c r="E32" s="63"/>
      <c r="F32" s="62"/>
      <c r="L32" s="63"/>
      <c r="N32" s="63"/>
      <c r="R32" s="63"/>
      <c r="U32" s="57"/>
    </row>
    <row r="34" ht="38.25" customHeight="1" x14ac:dyDescent="0.45"/>
  </sheetData>
  <mergeCells count="1">
    <mergeCell ref="B2:E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6FC405E-511E-4F4A-95C9-81BD3293036B}">
          <x14:formula1>
            <xm:f>Kriterier!$B$5:$B$8</xm:f>
          </x14:formula1>
          <xm:sqref>C7:C1048576</xm:sqref>
        </x14:dataValidation>
        <x14:dataValidation type="list" allowBlank="1" showInputMessage="1" showErrorMessage="1" xr:uid="{01E47627-8B0C-4AB3-9E68-F43FFC01A881}">
          <x14:formula1>
            <xm:f>Kriterier!$D$5:$D$6</xm:f>
          </x14:formula1>
          <xm:sqref>F7:F1048576</xm:sqref>
        </x14:dataValidation>
        <x14:dataValidation type="list" allowBlank="1" showInputMessage="1" showErrorMessage="1" xr:uid="{1ECAE502-8B34-4AA3-8021-9A62D71439AA}">
          <x14:formula1>
            <xm:f>Kriterier!$F$5:$F$6</xm:f>
          </x14:formula1>
          <xm:sqref>G7:G1048576 I7:I1048576 O7:O1048576 R7:R1048576</xm:sqref>
        </x14:dataValidation>
        <x14:dataValidation type="list" allowBlank="1" showInputMessage="1" showErrorMessage="1" xr:uid="{11602D2A-F6CD-4480-86CF-DACC5EBFCEB4}">
          <x14:formula1>
            <xm:f>Kriterier!$I$5:$I$7</xm:f>
          </x14:formula1>
          <xm:sqref>H7:H1048576</xm:sqref>
        </x14:dataValidation>
        <x14:dataValidation type="list" allowBlank="1" showInputMessage="1" showErrorMessage="1" xr:uid="{6E887D0C-4DCD-462A-AB63-881C8767FDB0}">
          <x14:formula1>
            <xm:f>Kriterier!$G$5:$G$6</xm:f>
          </x14:formula1>
          <xm:sqref>M7:M1048576 N7:N1048576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8419-2673-4CE4-B7E2-406B3998586B}">
  <dimension ref="B2:I85"/>
  <sheetViews>
    <sheetView showGridLines="0" tabSelected="1" workbookViewId="0">
      <selection activeCell="H18" sqref="H18"/>
    </sheetView>
  </sheetViews>
  <sheetFormatPr defaultRowHeight="14.25" x14ac:dyDescent="0.45"/>
  <cols>
    <col min="4" max="4" width="44.59765625" bestFit="1" customWidth="1"/>
    <col min="5" max="5" width="38" bestFit="1" customWidth="1"/>
    <col min="7" max="7" width="10.73046875" bestFit="1" customWidth="1"/>
  </cols>
  <sheetData>
    <row r="2" spans="3:9" ht="14.65" thickBot="1" x14ac:dyDescent="0.5"/>
    <row r="3" spans="3:9" x14ac:dyDescent="0.45">
      <c r="D3" s="142" t="s">
        <v>109</v>
      </c>
      <c r="E3" s="143"/>
      <c r="G3" s="75" t="s">
        <v>160</v>
      </c>
    </row>
    <row r="4" spans="3:9" x14ac:dyDescent="0.45">
      <c r="D4" s="144"/>
      <c r="E4" s="145"/>
      <c r="G4" s="75" t="s">
        <v>161</v>
      </c>
      <c r="H4" s="75"/>
    </row>
    <row r="5" spans="3:9" ht="14.65" thickBot="1" x14ac:dyDescent="0.5">
      <c r="D5" s="146"/>
      <c r="E5" s="147"/>
      <c r="G5" s="75"/>
      <c r="H5" s="75"/>
    </row>
    <row r="7" spans="3:9" x14ac:dyDescent="0.45">
      <c r="D7" s="148" t="s">
        <v>146</v>
      </c>
      <c r="E7" s="148"/>
      <c r="I7" s="30"/>
    </row>
    <row r="8" spans="3:9" x14ac:dyDescent="0.45">
      <c r="D8" s="148"/>
      <c r="E8" s="148"/>
      <c r="I8" s="30"/>
    </row>
    <row r="9" spans="3:9" ht="23.65" customHeight="1" x14ac:dyDescent="0.45">
      <c r="D9" s="148"/>
      <c r="E9" s="148"/>
      <c r="I9" s="30"/>
    </row>
    <row r="11" spans="3:9" ht="16.5" x14ac:dyDescent="0.75">
      <c r="C11" s="46" t="s">
        <v>110</v>
      </c>
      <c r="D11" s="46" t="s">
        <v>82</v>
      </c>
    </row>
    <row r="12" spans="3:9" ht="14.65" thickBot="1" x14ac:dyDescent="0.5"/>
    <row r="13" spans="3:9" s="46" customFormat="1" ht="16.5" x14ac:dyDescent="0.75">
      <c r="D13" s="65" t="s">
        <v>11</v>
      </c>
      <c r="E13" s="66" t="s">
        <v>102</v>
      </c>
    </row>
    <row r="14" spans="3:9" s="38" customFormat="1" ht="16.5" x14ac:dyDescent="0.75">
      <c r="D14" s="61" t="s">
        <v>12</v>
      </c>
      <c r="E14" s="57">
        <f>COUNTIFS(Masterdata!F7:F1048576,"Ja",Masterdata!C7:C1048576,'Arbejdsstyrkens karakteristika'!D14)</f>
        <v>3</v>
      </c>
    </row>
    <row r="15" spans="3:9" s="38" customFormat="1" ht="16.5" x14ac:dyDescent="0.75">
      <c r="D15" s="61" t="s">
        <v>13</v>
      </c>
      <c r="E15" s="57">
        <f>COUNTIFS(Masterdata!F7:F1048576,"Ja",Masterdata!C7:C1048576,'Arbejdsstyrkens karakteristika'!D15)</f>
        <v>3</v>
      </c>
    </row>
    <row r="16" spans="3:9" s="38" customFormat="1" ht="16.5" x14ac:dyDescent="0.75">
      <c r="D16" s="61" t="s">
        <v>14</v>
      </c>
      <c r="E16" s="57">
        <f>COUNTIFS(Masterdata!F7:F1048576,"Ja",Masterdata!C7:C1048576,'Arbejdsstyrkens karakteristika'!D16)</f>
        <v>2</v>
      </c>
    </row>
    <row r="17" spans="3:8" s="38" customFormat="1" ht="16.5" x14ac:dyDescent="0.75">
      <c r="D17" s="61" t="s">
        <v>15</v>
      </c>
      <c r="E17" s="57">
        <f>COUNTIFS(Masterdata!F7:F1048576,"Ja",Masterdata!C7:C1048576,'Arbejdsstyrkens karakteristika'!D17)</f>
        <v>2</v>
      </c>
    </row>
    <row r="18" spans="3:8" s="38" customFormat="1" ht="16.899999999999999" thickBot="1" x14ac:dyDescent="0.8">
      <c r="D18" s="67" t="s">
        <v>17</v>
      </c>
      <c r="E18" s="68">
        <f>SUM(E14:E17)</f>
        <v>10</v>
      </c>
    </row>
    <row r="20" spans="3:8" s="46" customFormat="1" ht="16.5" x14ac:dyDescent="0.75">
      <c r="C20" s="46" t="s">
        <v>111</v>
      </c>
      <c r="D20" s="46" t="s">
        <v>97</v>
      </c>
    </row>
    <row r="21" spans="3:8" ht="14.65" thickBot="1" x14ac:dyDescent="0.5"/>
    <row r="22" spans="3:8" ht="6.4" customHeight="1" x14ac:dyDescent="0.45">
      <c r="C22" s="1"/>
      <c r="D22" s="136" t="s">
        <v>120</v>
      </c>
      <c r="E22" s="137"/>
    </row>
    <row r="23" spans="3:8" s="71" customFormat="1" ht="12" customHeight="1" x14ac:dyDescent="0.75">
      <c r="C23" s="70"/>
      <c r="D23" s="138"/>
      <c r="E23" s="139"/>
    </row>
    <row r="24" spans="3:8" s="71" customFormat="1" ht="16.5" x14ac:dyDescent="0.75">
      <c r="C24" s="70"/>
      <c r="D24" s="138"/>
      <c r="E24" s="139"/>
    </row>
    <row r="25" spans="3:8" s="71" customFormat="1" ht="16.5" x14ac:dyDescent="0.75">
      <c r="C25" s="70"/>
      <c r="D25" s="138"/>
      <c r="E25" s="139"/>
    </row>
    <row r="26" spans="3:8" s="71" customFormat="1" ht="16.5" x14ac:dyDescent="0.75">
      <c r="C26" s="70"/>
      <c r="D26" s="138"/>
      <c r="E26" s="139"/>
    </row>
    <row r="27" spans="3:8" s="71" customFormat="1" ht="16.5" x14ac:dyDescent="0.75">
      <c r="D27" s="138"/>
      <c r="E27" s="139"/>
    </row>
    <row r="28" spans="3:8" s="71" customFormat="1" ht="16.899999999999999" thickBot="1" x14ac:dyDescent="0.8">
      <c r="D28" s="140"/>
      <c r="E28" s="141"/>
    </row>
    <row r="29" spans="3:8" x14ac:dyDescent="0.45">
      <c r="D29" s="30"/>
    </row>
    <row r="30" spans="3:8" s="46" customFormat="1" ht="16.5" x14ac:dyDescent="0.75">
      <c r="C30" s="46" t="s">
        <v>112</v>
      </c>
      <c r="D30" s="46" t="s">
        <v>113</v>
      </c>
    </row>
    <row r="31" spans="3:8" ht="14.65" thickBot="1" x14ac:dyDescent="0.5"/>
    <row r="32" spans="3:8" s="46" customFormat="1" ht="16.5" x14ac:dyDescent="0.75">
      <c r="D32" s="65" t="s">
        <v>22</v>
      </c>
      <c r="E32" s="69" t="s">
        <v>23</v>
      </c>
      <c r="F32" s="69" t="s">
        <v>14</v>
      </c>
      <c r="G32" s="69" t="s">
        <v>15</v>
      </c>
      <c r="H32" s="66" t="s">
        <v>24</v>
      </c>
    </row>
    <row r="33" spans="3:8" s="38" customFormat="1" ht="16.5" x14ac:dyDescent="0.75">
      <c r="D33" s="149" t="s">
        <v>36</v>
      </c>
      <c r="E33" s="150"/>
      <c r="F33" s="150"/>
      <c r="G33" s="150"/>
      <c r="H33" s="151"/>
    </row>
    <row r="34" spans="3:8" s="38" customFormat="1" ht="16.5" x14ac:dyDescent="0.75">
      <c r="D34" s="61">
        <f>E15</f>
        <v>3</v>
      </c>
      <c r="E34" s="38">
        <f>E14</f>
        <v>3</v>
      </c>
      <c r="F34" s="38">
        <f>E16</f>
        <v>2</v>
      </c>
      <c r="G34" s="38">
        <f>E17</f>
        <v>2</v>
      </c>
      <c r="H34" s="57">
        <f>SUM(D34:G34)</f>
        <v>10</v>
      </c>
    </row>
    <row r="35" spans="3:8" s="38" customFormat="1" ht="16.5" x14ac:dyDescent="0.75">
      <c r="D35" s="149" t="s">
        <v>29</v>
      </c>
      <c r="E35" s="150"/>
      <c r="F35" s="150"/>
      <c r="G35" s="150"/>
      <c r="H35" s="151"/>
    </row>
    <row r="36" spans="3:8" s="38" customFormat="1" ht="16.5" x14ac:dyDescent="0.75">
      <c r="D36" s="61">
        <f>COUNTIFS(Masterdata!C7:C1048576,'Arbejdsstyrkens karakteristika'!D15,Masterdata!F7:F1048576,"Ja",Masterdata!H7:H1048576,"Fastansat")</f>
        <v>0</v>
      </c>
      <c r="E36" s="38">
        <f>COUNTIFS(Masterdata!C7:C1048576,'Arbejdsstyrkens karakteristika'!D14,Masterdata!F7:F1048576,"Ja",Masterdata!H7:H1048576,"Fastansat")</f>
        <v>2</v>
      </c>
      <c r="F36" s="38">
        <f>COUNTIFS(Masterdata!C7:C1048576,'Arbejdsstyrkens karakteristika'!D16,Masterdata!F7:F1048576,"Ja",Masterdata!H7:H1048576,"Fastansat")</f>
        <v>1</v>
      </c>
      <c r="G36" s="38">
        <f>COUNTIFS(Masterdata!C7:C1048576,'Arbejdsstyrkens karakteristika'!D17,Masterdata!F7:F1048576,"Ja",Masterdata!H7:H1048576,"Fastansat")</f>
        <v>0</v>
      </c>
      <c r="H36" s="57">
        <f>SUM(D36:G36)</f>
        <v>3</v>
      </c>
    </row>
    <row r="37" spans="3:8" s="38" customFormat="1" ht="16.5" x14ac:dyDescent="0.75">
      <c r="D37" s="149" t="s">
        <v>30</v>
      </c>
      <c r="E37" s="150"/>
      <c r="F37" s="150"/>
      <c r="G37" s="150"/>
      <c r="H37" s="151"/>
    </row>
    <row r="38" spans="3:8" s="38" customFormat="1" ht="16.5" x14ac:dyDescent="0.75">
      <c r="D38" s="61">
        <f>COUNTIFS(Masterdata!C7:C1048576,'Arbejdsstyrkens karakteristika'!D15,Masterdata!F7:F1048576,"Ja",Masterdata!H7:H1048576,"Midlertidig ansat")</f>
        <v>0</v>
      </c>
      <c r="E38" s="52">
        <f>COUNTIFS(Masterdata!C7:C1048576,'Arbejdsstyrkens karakteristika'!D14,Masterdata!F7:F1048576,"Ja",Masterdata!H7:H1048576,"Midlertidig ansat")</f>
        <v>0</v>
      </c>
      <c r="F38" s="52">
        <f>COUNTIFS(Masterdata!C7:C1048576,'Arbejdsstyrkens karakteristika'!D16,Masterdata!F7:F1048576,"Ja",Masterdata!H7:H1048576,"Midlertidig ansat")</f>
        <v>0</v>
      </c>
      <c r="G38" s="52">
        <f>COUNTIFS(Masterdata!C7:C1048576,'Arbejdsstyrkens karakteristika'!D17,Masterdata!F7:F1048576,"Ja",Masterdata!H7:H1048576,"Fastansat")</f>
        <v>0</v>
      </c>
      <c r="H38" s="55">
        <f>SUM(D38:G38)</f>
        <v>0</v>
      </c>
    </row>
    <row r="39" spans="3:8" s="38" customFormat="1" ht="16.5" x14ac:dyDescent="0.75">
      <c r="D39" s="149" t="s">
        <v>31</v>
      </c>
      <c r="E39" s="150"/>
      <c r="F39" s="150"/>
      <c r="G39" s="150"/>
      <c r="H39" s="151"/>
    </row>
    <row r="40" spans="3:8" s="38" customFormat="1" ht="16.5" x14ac:dyDescent="0.75">
      <c r="D40" s="50">
        <f>COUNTIFS(Masterdata!C7:C1048576,'Arbejdsstyrkens karakteristika'!D15,Masterdata!F7:F1048576,"Ja",Masterdata!H7:H1048576,"0-timers kontrakt")</f>
        <v>1</v>
      </c>
      <c r="E40" s="52">
        <f>COUNTIFS(Masterdata!C7:C1048576,'Arbejdsstyrkens karakteristika'!D14,Masterdata!F7:F1048576,"Ja",Masterdata!H7:H1048576,"0-timers kontrakt")</f>
        <v>0</v>
      </c>
      <c r="F40" s="52">
        <f>COUNTIFS(Masterdata!C7:C1048576,'Arbejdsstyrkens karakteristika'!D16,Masterdata!F7:F1048576,"Ja",Masterdata!H7:H1048576,"0-timers kontrakt")</f>
        <v>1</v>
      </c>
      <c r="G40" s="52">
        <f>COUNTIFS(Masterdata!C7:C1048576,'Arbejdsstyrkens karakteristika'!D17,Masterdata!F7:F1048576,"Ja",Masterdata!H7:H1048576,"0-timers kontrakt")</f>
        <v>1</v>
      </c>
      <c r="H40" s="55">
        <f>SUM(D40:G40)</f>
        <v>3</v>
      </c>
    </row>
    <row r="41" spans="3:8" s="38" customFormat="1" ht="16.5" x14ac:dyDescent="0.75">
      <c r="D41" s="149" t="s">
        <v>28</v>
      </c>
      <c r="E41" s="150"/>
      <c r="F41" s="150"/>
      <c r="G41" s="150"/>
      <c r="H41" s="151"/>
    </row>
    <row r="42" spans="3:8" s="38" customFormat="1" ht="16.5" x14ac:dyDescent="0.75">
      <c r="D42" s="61">
        <f>COUNTIFS(Masterdata!C7:C1048576,'Arbejdsstyrkens karakteristika'!D15,Masterdata!F7:F1048576,"Ja",Masterdata!G7:G1048576,"Ja")</f>
        <v>2</v>
      </c>
      <c r="E42" s="38">
        <f>COUNTIFS(Masterdata!C7:C1048576,'Arbejdsstyrkens karakteristika'!D14,Masterdata!F7:F1048576,"Ja",Masterdata!G7:G1048576,"Ja")</f>
        <v>1</v>
      </c>
      <c r="F42" s="38">
        <f>COUNTIFS(Masterdata!C7:C1048576,'Arbejdsstyrkens karakteristika'!D16,Masterdata!F7:F1048576,"Ja",Masterdata!G7:G1048576,"Ja")</f>
        <v>1</v>
      </c>
      <c r="G42" s="38">
        <f>COUNTIFS(Masterdata!C7:C1048576,'Arbejdsstyrkens karakteristika'!D17,Masterdata!F7:F1048576,"Ja",Masterdata!G7:G1048576,"Ja")</f>
        <v>2</v>
      </c>
      <c r="H42" s="57">
        <f>SUM(D42:G42)</f>
        <v>6</v>
      </c>
    </row>
    <row r="43" spans="3:8" s="38" customFormat="1" ht="16.5" x14ac:dyDescent="0.75">
      <c r="D43" s="149" t="s">
        <v>32</v>
      </c>
      <c r="E43" s="150"/>
      <c r="F43" s="150"/>
      <c r="G43" s="150"/>
      <c r="H43" s="151"/>
    </row>
    <row r="44" spans="3:8" s="38" customFormat="1" ht="16.899999999999999" thickBot="1" x14ac:dyDescent="0.8">
      <c r="D44" s="72">
        <f>COUNTIFS(Masterdata!C7:C1048576,'Arbejdsstyrkens karakteristika'!D15,Masterdata!F7:F1048576,"Ja",Masterdata!G7:G1048576,"Nej")</f>
        <v>1</v>
      </c>
      <c r="E44" s="59">
        <f>COUNTIFS(Masterdata!C7:C1048576,'Arbejdsstyrkens karakteristika'!D14,Masterdata!F7:F1048576,"Ja",Masterdata!G7:G1048576,"Nej")</f>
        <v>2</v>
      </c>
      <c r="F44" s="59">
        <f>COUNTIFS(Masterdata!C7:C1048576,'Arbejdsstyrkens karakteristika'!D16,Masterdata!F7:F1048576,"Ja",Masterdata!G7:G1048576,"Nej")</f>
        <v>1</v>
      </c>
      <c r="G44" s="59">
        <f>COUNTIFS(Masterdata!C7:C1048576,'Arbejdsstyrkens karakteristika'!D17,Masterdata!F7:F1048576,"Ja",Masterdata!G7:G1048576,"Nej")</f>
        <v>0</v>
      </c>
      <c r="H44" s="73">
        <f>SUM(D44:G44)</f>
        <v>4</v>
      </c>
    </row>
    <row r="46" spans="3:8" s="46" customFormat="1" ht="16.5" x14ac:dyDescent="0.75">
      <c r="C46" s="46" t="s">
        <v>114</v>
      </c>
      <c r="D46" s="46" t="s">
        <v>115</v>
      </c>
    </row>
    <row r="47" spans="3:8" ht="14.65" thickBot="1" x14ac:dyDescent="0.5"/>
    <row r="48" spans="3:8" s="46" customFormat="1" ht="16.5" x14ac:dyDescent="0.75">
      <c r="D48" s="65" t="s">
        <v>18</v>
      </c>
      <c r="E48" s="66" t="s">
        <v>19</v>
      </c>
    </row>
    <row r="49" spans="3:5" s="38" customFormat="1" ht="16.5" x14ac:dyDescent="0.75">
      <c r="D49" s="61">
        <f>COUNTIF(Masterdata!J7:J1048576,"*")</f>
        <v>2</v>
      </c>
      <c r="E49" s="57">
        <f>E18</f>
        <v>10</v>
      </c>
    </row>
    <row r="50" spans="3:5" s="38" customFormat="1" ht="16.899999999999999" thickBot="1" x14ac:dyDescent="0.8">
      <c r="D50" s="67" t="s">
        <v>20</v>
      </c>
      <c r="E50" s="74">
        <f>D49/E49</f>
        <v>0.2</v>
      </c>
    </row>
    <row r="52" spans="3:5" s="46" customFormat="1" ht="16.5" x14ac:dyDescent="0.75">
      <c r="C52" s="46" t="s">
        <v>116</v>
      </c>
      <c r="D52" s="46" t="s">
        <v>117</v>
      </c>
    </row>
    <row r="53" spans="3:5" ht="14.65" thickBot="1" x14ac:dyDescent="0.5"/>
    <row r="54" spans="3:5" s="46" customFormat="1" ht="16.5" x14ac:dyDescent="0.75">
      <c r="D54" s="65" t="s">
        <v>19</v>
      </c>
      <c r="E54" s="66" t="s">
        <v>71</v>
      </c>
    </row>
    <row r="55" spans="3:5" s="38" customFormat="1" ht="16.5" x14ac:dyDescent="0.75">
      <c r="D55" s="61">
        <f>E18</f>
        <v>10</v>
      </c>
      <c r="E55" s="57">
        <f>Masterdata!Y7</f>
        <v>10</v>
      </c>
    </row>
    <row r="56" spans="3:5" s="38" customFormat="1" ht="16.899999999999999" thickBot="1" x14ac:dyDescent="0.8">
      <c r="D56" s="67" t="s">
        <v>21</v>
      </c>
      <c r="E56" s="68">
        <f>D55-E55</f>
        <v>0</v>
      </c>
    </row>
    <row r="58" spans="3:5" ht="15" customHeight="1" thickBot="1" x14ac:dyDescent="0.5"/>
    <row r="59" spans="3:5" ht="15.75" customHeight="1" x14ac:dyDescent="0.45">
      <c r="D59" s="142" t="s">
        <v>118</v>
      </c>
      <c r="E59" s="143"/>
    </row>
    <row r="60" spans="3:5" x14ac:dyDescent="0.45">
      <c r="D60" s="144"/>
      <c r="E60" s="145"/>
    </row>
    <row r="61" spans="3:5" ht="14.65" thickBot="1" x14ac:dyDescent="0.5">
      <c r="D61" s="146"/>
      <c r="E61" s="147"/>
    </row>
    <row r="63" spans="3:5" ht="14.25" customHeight="1" x14ac:dyDescent="0.45">
      <c r="D63" s="148" t="s">
        <v>147</v>
      </c>
      <c r="E63" s="148"/>
    </row>
    <row r="64" spans="3:5" x14ac:dyDescent="0.45">
      <c r="D64" s="148"/>
      <c r="E64" s="148"/>
    </row>
    <row r="65" spans="2:5" ht="24" customHeight="1" x14ac:dyDescent="0.45">
      <c r="D65" s="148"/>
      <c r="E65" s="148"/>
    </row>
    <row r="68" spans="2:5" s="46" customFormat="1" ht="16.5" x14ac:dyDescent="0.75">
      <c r="C68" s="46" t="s">
        <v>110</v>
      </c>
      <c r="D68" s="46" t="s">
        <v>119</v>
      </c>
    </row>
    <row r="69" spans="2:5" ht="14.65" thickBot="1" x14ac:dyDescent="0.5">
      <c r="B69" s="1"/>
    </row>
    <row r="70" spans="2:5" s="46" customFormat="1" ht="16.5" x14ac:dyDescent="0.75">
      <c r="D70" s="65" t="s">
        <v>11</v>
      </c>
      <c r="E70" s="66" t="s">
        <v>16</v>
      </c>
    </row>
    <row r="71" spans="2:5" s="38" customFormat="1" ht="16.5" x14ac:dyDescent="0.75">
      <c r="D71" s="61" t="s">
        <v>12</v>
      </c>
      <c r="E71" s="57">
        <f>COUNTIFS(Masterdata!F7:F1048576,"Nej",Masterdata!C7:C1048576,'Arbejdsstyrkens karakteristika'!D71)</f>
        <v>3</v>
      </c>
    </row>
    <row r="72" spans="2:5" s="38" customFormat="1" ht="16.5" x14ac:dyDescent="0.75">
      <c r="D72" s="61" t="s">
        <v>13</v>
      </c>
      <c r="E72" s="57">
        <f>COUNTIFS(Masterdata!F7:F1048576,"Nej",Masterdata!C7:C1048576,'Arbejdsstyrkens karakteristika'!D72)</f>
        <v>4</v>
      </c>
    </row>
    <row r="73" spans="2:5" s="38" customFormat="1" ht="16.5" x14ac:dyDescent="0.75">
      <c r="D73" s="61" t="s">
        <v>14</v>
      </c>
      <c r="E73" s="57">
        <f>COUNTIFS(Masterdata!F7:F1048576,"Nej",Masterdata!C7:C1048576,'Arbejdsstyrkens karakteristika'!D73)</f>
        <v>2</v>
      </c>
    </row>
    <row r="74" spans="2:5" s="38" customFormat="1" ht="16.5" x14ac:dyDescent="0.75">
      <c r="D74" s="61" t="s">
        <v>15</v>
      </c>
      <c r="E74" s="57">
        <f>COUNTIFS(Masterdata!F7:F1048576,"Nej",Masterdata!C7:C1048576,'Arbejdsstyrkens karakteristika'!D74)</f>
        <v>3</v>
      </c>
    </row>
    <row r="75" spans="2:5" s="38" customFormat="1" ht="16.899999999999999" thickBot="1" x14ac:dyDescent="0.8">
      <c r="D75" s="67" t="s">
        <v>17</v>
      </c>
      <c r="E75" s="68">
        <f>SUM(E71:E74)</f>
        <v>12</v>
      </c>
    </row>
    <row r="78" spans="2:5" s="46" customFormat="1" ht="16.899999999999999" thickBot="1" x14ac:dyDescent="0.8">
      <c r="C78" s="46" t="s">
        <v>111</v>
      </c>
      <c r="D78" s="46" t="s">
        <v>97</v>
      </c>
    </row>
    <row r="79" spans="2:5" x14ac:dyDescent="0.45">
      <c r="D79" s="136" t="s">
        <v>120</v>
      </c>
      <c r="E79" s="137"/>
    </row>
    <row r="80" spans="2:5" x14ac:dyDescent="0.45">
      <c r="D80" s="138"/>
      <c r="E80" s="139"/>
    </row>
    <row r="81" spans="4:5" x14ac:dyDescent="0.45">
      <c r="D81" s="138"/>
      <c r="E81" s="139"/>
    </row>
    <row r="82" spans="4:5" x14ac:dyDescent="0.45">
      <c r="D82" s="138"/>
      <c r="E82" s="139"/>
    </row>
    <row r="83" spans="4:5" x14ac:dyDescent="0.45">
      <c r="D83" s="138"/>
      <c r="E83" s="139"/>
    </row>
    <row r="84" spans="4:5" x14ac:dyDescent="0.45">
      <c r="D84" s="138"/>
      <c r="E84" s="139"/>
    </row>
    <row r="85" spans="4:5" ht="14.65" thickBot="1" x14ac:dyDescent="0.5">
      <c r="D85" s="140"/>
      <c r="E85" s="141"/>
    </row>
  </sheetData>
  <sheetProtection algorithmName="SHA-512" hashValue="3TUYDudY2ew/Qzv9vjc6+taOmCzk4Yl39K22t+vjSr+xGmmUk1B3UxKyAHuvlcaKOMtI50O97/6nxA3T7kWQmA==" saltValue="7kKuIUWVSTALzsZUuReROw==" spinCount="100000" sheet="1" objects="1" scenarios="1"/>
  <mergeCells count="12">
    <mergeCell ref="D79:E85"/>
    <mergeCell ref="D3:E5"/>
    <mergeCell ref="D7:E9"/>
    <mergeCell ref="D59:E61"/>
    <mergeCell ref="D63:E65"/>
    <mergeCell ref="D22:E28"/>
    <mergeCell ref="D43:H43"/>
    <mergeCell ref="D33:H33"/>
    <mergeCell ref="D41:H41"/>
    <mergeCell ref="D37:H37"/>
    <mergeCell ref="D35:H35"/>
    <mergeCell ref="D39: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5B4-5A4C-41C2-8552-F43675222B46}">
  <dimension ref="C2:J108"/>
  <sheetViews>
    <sheetView showGridLines="0" topLeftCell="A52" workbookViewId="0">
      <selection activeCell="F73" sqref="F73"/>
    </sheetView>
  </sheetViews>
  <sheetFormatPr defaultRowHeight="14.25" x14ac:dyDescent="0.45"/>
  <cols>
    <col min="4" max="4" width="36" customWidth="1"/>
    <col min="5" max="5" width="30.1328125" customWidth="1"/>
    <col min="6" max="6" width="30" customWidth="1"/>
    <col min="7" max="7" width="21.86328125" customWidth="1"/>
  </cols>
  <sheetData>
    <row r="2" spans="3:10" ht="14.65" thickBot="1" x14ac:dyDescent="0.5"/>
    <row r="3" spans="3:10" x14ac:dyDescent="0.45">
      <c r="D3" s="142" t="s">
        <v>121</v>
      </c>
      <c r="E3" s="143"/>
    </row>
    <row r="4" spans="3:10" ht="15" customHeight="1" x14ac:dyDescent="0.45">
      <c r="D4" s="144"/>
      <c r="E4" s="145"/>
      <c r="G4" s="75" t="s">
        <v>160</v>
      </c>
    </row>
    <row r="5" spans="3:10" ht="15" customHeight="1" thickBot="1" x14ac:dyDescent="0.5">
      <c r="D5" s="146"/>
      <c r="E5" s="147"/>
      <c r="G5" s="75" t="s">
        <v>161</v>
      </c>
      <c r="H5" s="75"/>
    </row>
    <row r="6" spans="3:10" ht="15.75" customHeight="1" x14ac:dyDescent="0.45"/>
    <row r="7" spans="3:10" x14ac:dyDescent="0.45">
      <c r="D7" s="148" t="s">
        <v>148</v>
      </c>
      <c r="E7" s="148"/>
    </row>
    <row r="8" spans="3:10" x14ac:dyDescent="0.45">
      <c r="D8" s="148"/>
      <c r="E8" s="148"/>
    </row>
    <row r="9" spans="3:10" ht="9" customHeight="1" x14ac:dyDescent="0.45">
      <c r="D9" s="148"/>
      <c r="E9" s="148"/>
      <c r="J9" s="1"/>
    </row>
    <row r="10" spans="3:10" x14ac:dyDescent="0.45">
      <c r="D10" s="31"/>
      <c r="E10" s="31"/>
      <c r="J10" s="1"/>
    </row>
    <row r="11" spans="3:10" s="46" customFormat="1" ht="16.5" x14ac:dyDescent="0.75">
      <c r="C11" s="46" t="s">
        <v>110</v>
      </c>
      <c r="D11" s="46" t="s">
        <v>99</v>
      </c>
    </row>
    <row r="12" spans="3:10" ht="14.65" thickBot="1" x14ac:dyDescent="0.5">
      <c r="C12" s="1"/>
    </row>
    <row r="13" spans="3:10" s="46" customFormat="1" ht="16.5" x14ac:dyDescent="0.75">
      <c r="D13" s="81" t="s">
        <v>34</v>
      </c>
      <c r="E13" s="82" t="s">
        <v>19</v>
      </c>
    </row>
    <row r="14" spans="3:10" s="38" customFormat="1" ht="16.5" x14ac:dyDescent="0.75">
      <c r="D14" s="61">
        <f>COUNTIFS(Masterdata!E7:E1048576,"DK",Masterdata!F7:F1048576,"Ja",Masterdata!M7:M1048576,"Ja")</f>
        <v>10</v>
      </c>
      <c r="E14" s="57">
        <f>COUNTIF(Masterdata!F7:F1048576,"Ja")</f>
        <v>10</v>
      </c>
    </row>
    <row r="15" spans="3:10" s="38" customFormat="1" ht="33.4" thickBot="1" x14ac:dyDescent="0.8">
      <c r="D15" s="92" t="s">
        <v>35</v>
      </c>
      <c r="E15" s="74">
        <f>D14/E14</f>
        <v>1</v>
      </c>
    </row>
    <row r="16" spans="3:10" x14ac:dyDescent="0.45">
      <c r="D16" s="11"/>
      <c r="E16" s="34"/>
    </row>
    <row r="17" spans="3:7" s="46" customFormat="1" ht="16.5" x14ac:dyDescent="0.75">
      <c r="C17" s="46" t="s">
        <v>111</v>
      </c>
      <c r="D17" s="83" t="s">
        <v>81</v>
      </c>
      <c r="E17" s="78"/>
    </row>
    <row r="18" spans="3:7" ht="14.65" thickBot="1" x14ac:dyDescent="0.5"/>
    <row r="19" spans="3:7" s="46" customFormat="1" ht="16.899999999999999" thickBot="1" x14ac:dyDescent="0.8">
      <c r="D19" s="91" t="s">
        <v>81</v>
      </c>
      <c r="E19" s="90">
        <f>Masterdata!Y8</f>
        <v>7</v>
      </c>
    </row>
    <row r="22" spans="3:7" s="46" customFormat="1" ht="16.5" x14ac:dyDescent="0.75">
      <c r="C22" s="46" t="s">
        <v>112</v>
      </c>
      <c r="D22" s="46" t="s">
        <v>122</v>
      </c>
    </row>
    <row r="23" spans="3:7" ht="14.65" thickBot="1" x14ac:dyDescent="0.5"/>
    <row r="24" spans="3:7" s="46" customFormat="1" ht="16.899999999999999" thickBot="1" x14ac:dyDescent="0.8">
      <c r="D24" s="79"/>
      <c r="E24" s="165" t="s">
        <v>47</v>
      </c>
      <c r="F24" s="166"/>
      <c r="G24" s="85" t="s">
        <v>49</v>
      </c>
    </row>
    <row r="25" spans="3:7" s="38" customFormat="1" ht="33.4" thickBot="1" x14ac:dyDescent="0.8">
      <c r="D25" s="58" t="s">
        <v>39</v>
      </c>
      <c r="E25" s="93" t="s">
        <v>46</v>
      </c>
      <c r="F25" s="94" t="s">
        <v>45</v>
      </c>
      <c r="G25" s="95" t="s">
        <v>48</v>
      </c>
    </row>
    <row r="26" spans="3:7" ht="16.5" x14ac:dyDescent="0.75">
      <c r="D26" s="86" t="s">
        <v>40</v>
      </c>
      <c r="E26" s="5" t="str">
        <f>IF(COUNTIFS(Masterdata!E7:E1048576,"DK",Masterdata!F7:F1048576,"Ja",Masterdata!M7:M1048576,"Ja")/COUNTIFS(Masterdata!E7:E1048576,"DK",Masterdata!F7:F1048576,"Ja")&gt;=0,
    IF(COUNTIFS(Masterdata!E7:E1048576,"DK",Masterdata!F7:F1048576,"Ja",Masterdata!M7:M1048576,"Ja")/COUNTIFS(Masterdata!E7:E1048576,"DK",Masterdata!F7:F1048576,"Ja")&lt;=0.19,
        "DK",
        ""),
    "")</f>
        <v/>
      </c>
      <c r="F26" s="32"/>
      <c r="G26" s="3"/>
    </row>
    <row r="27" spans="3:7" ht="16.5" x14ac:dyDescent="0.75">
      <c r="D27" s="86" t="s">
        <v>41</v>
      </c>
      <c r="E27" t="str">
        <f>IF(COUNTIFS(Masterdata!E7:E1048576,"DK",Masterdata!F7:F1048576,"Ja",Masterdata!M7:M1048576,"Ja")/COUNTIFS(Masterdata!E7:E1048576,"DK",Masterdata!F7:F1048576,"Ja")&gt;=0.2,
    IF(COUNTIFS(Masterdata!E7:E1048576,"DK",Masterdata!F7:F1048576,"Ja",Masterdata!M7:M1048576,"Ja")/COUNTIFS(Masterdata!E7:E1048576,"DK",Masterdata!F7:F1048576,"Ja")&lt;=0.39,
        "DK",
        ""),
    "")</f>
        <v/>
      </c>
      <c r="F27" s="32"/>
      <c r="G27" s="3"/>
    </row>
    <row r="28" spans="3:7" ht="16.5" x14ac:dyDescent="0.75">
      <c r="D28" s="86" t="s">
        <v>42</v>
      </c>
      <c r="E28" t="str">
        <f>IF(COUNTIFS(Masterdata!E7:E1048576,"DK",Masterdata!F7:F1048576,"Ja",Masterdata!M7:M1048576,"Ja")/COUNTIFS(Masterdata!E7:E1048576,"DK",Masterdata!F7:F1048576,"Ja")&gt;=0.4,
    IF(COUNTIFS(Masterdata!E7:E1048576,"DK",Masterdata!F7:F1048576,"Ja",Masterdata!M7:M1048576,"Ja")/COUNTIFS(Masterdata!E7:E1048576,"DK",Masterdata!F7:F1048576,"Ja")&lt;=0.59,
        "DK",
        ""),
    "")</f>
        <v/>
      </c>
      <c r="F28" s="32"/>
      <c r="G28" s="3"/>
    </row>
    <row r="29" spans="3:7" ht="16.5" x14ac:dyDescent="0.75">
      <c r="D29" s="86" t="s">
        <v>43</v>
      </c>
      <c r="E29" s="38" t="str">
        <f>IF(COUNTIFS(Masterdata!E7:E1048576,"DK",Masterdata!F7:F1048576,"Ja",Masterdata!M7:M1048576,"Ja")/COUNTIFS(Masterdata!E7:E1048576,"DK",Masterdata!F7:F1048576,"Ja")&gt;=0.6,
    IF(COUNTIFS(Masterdata!E7:E1048576,"DK",Masterdata!F7:F1048576,"Ja",Masterdata!M7:M1048576,"Ja")/COUNTIFS(Masterdata!E7:E1048576,"DK",Masterdata!F7:F1048576,"Ja")&lt;=0.79,
        "DK",
        ""),
    "")</f>
        <v/>
      </c>
      <c r="F29" s="32"/>
      <c r="G29" s="3"/>
    </row>
    <row r="30" spans="3:7" ht="16.899999999999999" thickBot="1" x14ac:dyDescent="0.8">
      <c r="D30" s="47" t="s">
        <v>38</v>
      </c>
      <c r="E30" s="97" t="str">
        <f>IF(COUNTIFS(Masterdata!E7:E1048576,"DK",Masterdata!F7:F1048576,"Ja",Masterdata!M7:M1048576,"Ja")/COUNTIFS(Masterdata!E7:E1048576,"DK",Masterdata!F7:F1048576,"Ja")&gt;=0.8,
    IF(COUNTIFS(Masterdata!E7:E1048576,"DK",Masterdata!F7:F1048576,"Ja",Masterdata!M7:M1048576,"Ja")/COUNTIFS(Masterdata!E7:E1048576,"DK",Masterdata!F7:F1048576,"Ja")&lt;=1,
        "DK",
        ""),
    "")</f>
        <v>DK</v>
      </c>
      <c r="F30" s="33"/>
      <c r="G30" s="96" t="s">
        <v>44</v>
      </c>
    </row>
    <row r="31" spans="3:7" x14ac:dyDescent="0.45">
      <c r="D31" s="1"/>
      <c r="E31" s="4"/>
      <c r="G31" s="4"/>
    </row>
    <row r="32" spans="3:7" s="46" customFormat="1" ht="16.5" x14ac:dyDescent="0.75">
      <c r="C32" s="46" t="s">
        <v>114</v>
      </c>
      <c r="D32" s="46" t="s">
        <v>97</v>
      </c>
    </row>
    <row r="33" spans="3:5" ht="14.65" thickBot="1" x14ac:dyDescent="0.5"/>
    <row r="34" spans="3:5" x14ac:dyDescent="0.45">
      <c r="D34" s="154" t="s">
        <v>123</v>
      </c>
      <c r="E34" s="160"/>
    </row>
    <row r="35" spans="3:5" x14ac:dyDescent="0.45">
      <c r="D35" s="161"/>
      <c r="E35" s="162"/>
    </row>
    <row r="36" spans="3:5" ht="14.65" thickBot="1" x14ac:dyDescent="0.5">
      <c r="D36" s="163"/>
      <c r="E36" s="164"/>
    </row>
    <row r="37" spans="3:5" x14ac:dyDescent="0.45">
      <c r="D37" s="35"/>
      <c r="E37" s="35"/>
    </row>
    <row r="38" spans="3:5" ht="14.65" thickBot="1" x14ac:dyDescent="0.5">
      <c r="D38" s="35"/>
      <c r="E38" s="35"/>
    </row>
    <row r="39" spans="3:5" ht="14.25" customHeight="1" x14ac:dyDescent="0.45">
      <c r="D39" s="142" t="s">
        <v>124</v>
      </c>
      <c r="E39" s="143"/>
    </row>
    <row r="40" spans="3:5" ht="14.25" customHeight="1" x14ac:dyDescent="0.45">
      <c r="D40" s="144"/>
      <c r="E40" s="145"/>
    </row>
    <row r="41" spans="3:5" ht="14.65" customHeight="1" thickBot="1" x14ac:dyDescent="0.5">
      <c r="D41" s="146"/>
      <c r="E41" s="147"/>
    </row>
    <row r="43" spans="3:5" ht="14.25" customHeight="1" x14ac:dyDescent="0.45">
      <c r="D43" s="148" t="s">
        <v>150</v>
      </c>
      <c r="E43" s="148"/>
    </row>
    <row r="44" spans="3:5" x14ac:dyDescent="0.45">
      <c r="D44" s="148"/>
      <c r="E44" s="148"/>
    </row>
    <row r="45" spans="3:5" ht="20.65" customHeight="1" x14ac:dyDescent="0.45">
      <c r="D45" s="148"/>
      <c r="E45" s="148"/>
    </row>
    <row r="47" spans="3:5" s="46" customFormat="1" ht="16.5" x14ac:dyDescent="0.75">
      <c r="C47" s="46" t="s">
        <v>110</v>
      </c>
      <c r="D47" s="46" t="s">
        <v>100</v>
      </c>
    </row>
    <row r="48" spans="3:5" ht="14.65" thickBot="1" x14ac:dyDescent="0.5"/>
    <row r="49" spans="4:5" x14ac:dyDescent="0.45">
      <c r="D49" s="154" t="s">
        <v>163</v>
      </c>
      <c r="E49" s="155"/>
    </row>
    <row r="50" spans="4:5" x14ac:dyDescent="0.45">
      <c r="D50" s="156"/>
      <c r="E50" s="157"/>
    </row>
    <row r="51" spans="4:5" x14ac:dyDescent="0.45">
      <c r="D51" s="156"/>
      <c r="E51" s="157"/>
    </row>
    <row r="52" spans="4:5" x14ac:dyDescent="0.45">
      <c r="D52" s="156"/>
      <c r="E52" s="157"/>
    </row>
    <row r="53" spans="4:5" x14ac:dyDescent="0.45">
      <c r="D53" s="156"/>
      <c r="E53" s="157"/>
    </row>
    <row r="54" spans="4:5" ht="14.65" thickBot="1" x14ac:dyDescent="0.5">
      <c r="D54" s="158"/>
      <c r="E54" s="159"/>
    </row>
    <row r="55" spans="4:5" x14ac:dyDescent="0.45">
      <c r="D55" s="36"/>
      <c r="E55" s="36"/>
    </row>
    <row r="56" spans="4:5" ht="15" customHeight="1" thickBot="1" x14ac:dyDescent="0.5">
      <c r="D56" s="36"/>
      <c r="E56" s="36"/>
    </row>
    <row r="57" spans="4:5" ht="15" customHeight="1" x14ac:dyDescent="0.45">
      <c r="D57" s="142" t="s">
        <v>125</v>
      </c>
      <c r="E57" s="143"/>
    </row>
    <row r="58" spans="4:5" ht="15" customHeight="1" x14ac:dyDescent="0.45">
      <c r="D58" s="144"/>
      <c r="E58" s="145"/>
    </row>
    <row r="59" spans="4:5" ht="15" customHeight="1" thickBot="1" x14ac:dyDescent="0.5">
      <c r="D59" s="146"/>
      <c r="E59" s="147"/>
    </row>
    <row r="60" spans="4:5" ht="15" customHeight="1" x14ac:dyDescent="0.45"/>
    <row r="61" spans="4:5" ht="15.75" customHeight="1" x14ac:dyDescent="0.45">
      <c r="D61" s="148" t="s">
        <v>149</v>
      </c>
      <c r="E61" s="148"/>
    </row>
    <row r="62" spans="4:5" x14ac:dyDescent="0.45">
      <c r="D62" s="148"/>
      <c r="E62" s="148"/>
    </row>
    <row r="63" spans="4:5" ht="19.899999999999999" customHeight="1" x14ac:dyDescent="0.45">
      <c r="D63" s="148"/>
      <c r="E63" s="148"/>
    </row>
    <row r="65" spans="3:9" s="46" customFormat="1" ht="16.5" x14ac:dyDescent="0.75">
      <c r="C65" s="46" t="s">
        <v>110</v>
      </c>
      <c r="D65" s="46" t="s">
        <v>101</v>
      </c>
    </row>
    <row r="66" spans="3:9" s="46" customFormat="1" ht="16.899999999999999" thickBot="1" x14ac:dyDescent="0.8"/>
    <row r="67" spans="3:9" ht="15" customHeight="1" x14ac:dyDescent="0.75">
      <c r="C67" s="1"/>
      <c r="D67" s="152" t="s">
        <v>162</v>
      </c>
      <c r="E67" s="152"/>
      <c r="I67" s="38"/>
    </row>
    <row r="68" spans="3:9" ht="16.5" x14ac:dyDescent="0.75">
      <c r="C68" s="1"/>
      <c r="D68" s="153"/>
      <c r="E68" s="153"/>
      <c r="I68" s="38"/>
    </row>
    <row r="69" spans="3:9" ht="16.5" x14ac:dyDescent="0.75">
      <c r="C69" s="1"/>
      <c r="D69" s="153"/>
      <c r="E69" s="153"/>
      <c r="I69" s="38"/>
    </row>
    <row r="70" spans="3:9" x14ac:dyDescent="0.45">
      <c r="C70" s="1"/>
      <c r="D70" s="153"/>
      <c r="E70" s="153"/>
    </row>
    <row r="71" spans="3:9" x14ac:dyDescent="0.45">
      <c r="D71" s="153"/>
      <c r="E71" s="153"/>
    </row>
    <row r="72" spans="3:9" x14ac:dyDescent="0.45">
      <c r="D72" s="153"/>
      <c r="E72" s="153"/>
    </row>
    <row r="73" spans="3:9" x14ac:dyDescent="0.45">
      <c r="D73" s="153"/>
      <c r="E73" s="153"/>
    </row>
    <row r="74" spans="3:9" x14ac:dyDescent="0.45">
      <c r="D74" s="153"/>
      <c r="E74" s="153"/>
    </row>
    <row r="75" spans="3:9" x14ac:dyDescent="0.45">
      <c r="D75" s="153"/>
      <c r="E75" s="153"/>
    </row>
    <row r="76" spans="3:9" x14ac:dyDescent="0.45">
      <c r="D76" s="153"/>
      <c r="E76" s="153"/>
    </row>
    <row r="78" spans="3:9" ht="14.65" thickBot="1" x14ac:dyDescent="0.5"/>
    <row r="79" spans="3:9" ht="14.25" customHeight="1" x14ac:dyDescent="0.45">
      <c r="D79" s="142" t="s">
        <v>126</v>
      </c>
      <c r="E79" s="143"/>
    </row>
    <row r="80" spans="3:9" ht="14.25" customHeight="1" x14ac:dyDescent="0.45">
      <c r="D80" s="144"/>
      <c r="E80" s="145"/>
    </row>
    <row r="81" spans="3:7" ht="14.65" customHeight="1" thickBot="1" x14ac:dyDescent="0.5">
      <c r="D81" s="146"/>
      <c r="E81" s="147"/>
    </row>
    <row r="83" spans="3:7" ht="15" customHeight="1" x14ac:dyDescent="0.45">
      <c r="D83" s="148" t="s">
        <v>151</v>
      </c>
      <c r="E83" s="148"/>
    </row>
    <row r="84" spans="3:7" ht="14.25" customHeight="1" x14ac:dyDescent="0.45">
      <c r="D84" s="148"/>
      <c r="E84" s="148"/>
    </row>
    <row r="85" spans="3:7" ht="14.25" customHeight="1" x14ac:dyDescent="0.45">
      <c r="D85" s="148"/>
      <c r="E85" s="148"/>
    </row>
    <row r="86" spans="3:7" ht="9.75" customHeight="1" x14ac:dyDescent="0.45">
      <c r="D86" s="148"/>
      <c r="E86" s="148"/>
    </row>
    <row r="89" spans="3:7" s="46" customFormat="1" ht="16.5" x14ac:dyDescent="0.75">
      <c r="C89" s="46" t="s">
        <v>110</v>
      </c>
      <c r="D89" s="46" t="s">
        <v>129</v>
      </c>
    </row>
    <row r="90" spans="3:7" ht="14.65" thickBot="1" x14ac:dyDescent="0.5"/>
    <row r="91" spans="3:7" s="46" customFormat="1" ht="49.5" x14ac:dyDescent="0.75">
      <c r="D91" s="81" t="s">
        <v>11</v>
      </c>
      <c r="E91" s="87" t="s">
        <v>83</v>
      </c>
      <c r="F91" s="88" t="s">
        <v>127</v>
      </c>
      <c r="G91" s="80" t="s">
        <v>128</v>
      </c>
    </row>
    <row r="92" spans="3:7" s="38" customFormat="1" ht="16.5" x14ac:dyDescent="0.75">
      <c r="D92" s="98" t="s">
        <v>12</v>
      </c>
      <c r="E92" s="99">
        <f>SUMIFS(Masterdata!S7:S1048576, Masterdata!C7:C1048576, "Mand", Masterdata!F7:F1048576, "Ja")</f>
        <v>3</v>
      </c>
      <c r="F92" s="100">
        <f>G92/'Arbejdsstyrkens karakteristika'!E14</f>
        <v>0.66666666666666663</v>
      </c>
      <c r="G92" s="101">
        <f>COUNTIFS(Masterdata!C7:C1048576,D92,Masterdata!F7:F1048576,"Ja",Masterdata!S7:S1048576,"&gt;0")</f>
        <v>2</v>
      </c>
    </row>
    <row r="93" spans="3:7" s="38" customFormat="1" ht="16.5" x14ac:dyDescent="0.75">
      <c r="D93" s="98" t="s">
        <v>13</v>
      </c>
      <c r="E93" s="38">
        <f>SUMIFS(Masterdata!S7:S1048576, Masterdata!C7:C1048576, "Kvinde", Masterdata!F7:F1048576, "Ja")</f>
        <v>3</v>
      </c>
      <c r="F93" s="102">
        <f>G93/'Arbejdsstyrkens karakteristika'!E15</f>
        <v>0.66666666666666663</v>
      </c>
      <c r="G93" s="101">
        <f>COUNTIFS(Masterdata!C7:C1048576,D93,Masterdata!F7:F1048576,"Ja",Masterdata!S7:S1048576,"&gt;0")</f>
        <v>2</v>
      </c>
    </row>
    <row r="94" spans="3:7" s="38" customFormat="1" ht="16.5" x14ac:dyDescent="0.75">
      <c r="D94" s="98" t="s">
        <v>14</v>
      </c>
      <c r="E94" s="38">
        <f>SUMIFS(Masterdata!S7:S1048576, Masterdata!C7:C1048576, "Andet", Masterdata!F7:F1048576, "Ja")</f>
        <v>3</v>
      </c>
      <c r="F94" s="102">
        <f>G94/'Arbejdsstyrkens karakteristika'!E16</f>
        <v>1</v>
      </c>
      <c r="G94" s="101">
        <f>COUNTIFS(Masterdata!C7:C1048576,D94,Masterdata!F7:F1048576,"Ja",Masterdata!S7:S1048576,"&gt;0")</f>
        <v>2</v>
      </c>
    </row>
    <row r="95" spans="3:7" s="38" customFormat="1" ht="16.5" x14ac:dyDescent="0.75">
      <c r="D95" s="98" t="s">
        <v>15</v>
      </c>
      <c r="E95" s="38">
        <f>SUMIFS(Masterdata!S7:S1048576, Masterdata!C7:C1048576, "Ikke oplyst", Masterdata!F7:F1048576, "Ja")</f>
        <v>2</v>
      </c>
      <c r="F95" s="102">
        <f>G95/'Arbejdsstyrkens karakteristika'!E17</f>
        <v>1</v>
      </c>
      <c r="G95" s="101">
        <f>COUNTIFS(Masterdata!C7:C1048576,D95,Masterdata!F7:F1048576,"Ja",Masterdata!S7:S1048576,"&gt;0")</f>
        <v>2</v>
      </c>
    </row>
    <row r="96" spans="3:7" s="38" customFormat="1" ht="16.899999999999999" thickBot="1" x14ac:dyDescent="0.8">
      <c r="D96" s="67" t="s">
        <v>17</v>
      </c>
      <c r="E96" s="103">
        <f>SUM(E92:E95)</f>
        <v>11</v>
      </c>
      <c r="F96" s="74">
        <f>G96/'Arbejdsstyrkens karakteristika'!E18</f>
        <v>0.8</v>
      </c>
      <c r="G96" s="104">
        <f>SUM(G92:G95)</f>
        <v>8</v>
      </c>
    </row>
    <row r="97" spans="3:6" s="38" customFormat="1" ht="33.4" thickBot="1" x14ac:dyDescent="0.8">
      <c r="D97" s="105" t="s">
        <v>84</v>
      </c>
      <c r="E97" s="59">
        <f>E96-SUMIFS(Masterdata!T7:T1048576, Masterdata!F7:F1048576, "Ja")</f>
        <v>-7</v>
      </c>
      <c r="F97" s="73"/>
    </row>
    <row r="99" spans="3:6" s="46" customFormat="1" ht="16.5" x14ac:dyDescent="0.75">
      <c r="C99" s="46" t="s">
        <v>111</v>
      </c>
      <c r="D99" s="46" t="s">
        <v>130</v>
      </c>
    </row>
    <row r="100" spans="3:6" ht="14.65" thickBot="1" x14ac:dyDescent="0.5"/>
    <row r="101" spans="3:6" s="46" customFormat="1" ht="33" x14ac:dyDescent="0.75">
      <c r="D101" s="81" t="s">
        <v>11</v>
      </c>
      <c r="E101" s="89" t="s">
        <v>51</v>
      </c>
    </row>
    <row r="102" spans="3:6" s="38" customFormat="1" ht="16.5" x14ac:dyDescent="0.75">
      <c r="D102" s="61" t="s">
        <v>12</v>
      </c>
      <c r="E102" s="106">
        <f>SUMIFS(Masterdata!U7:U1048576, Masterdata!C7:C1048576, "Mand", Masterdata!F7:F1048576, "Ja")/COUNTIFS(Masterdata!C7:C1048576, "Mand", Masterdata!F7:F1048576, "Ja")</f>
        <v>5.333333333333333</v>
      </c>
    </row>
    <row r="103" spans="3:6" s="38" customFormat="1" ht="16.5" x14ac:dyDescent="0.75">
      <c r="D103" s="61" t="s">
        <v>13</v>
      </c>
      <c r="E103" s="106">
        <f>SUMIFS(Masterdata!U7:U1048576, Masterdata!C7:C1048576, "Kvinde", Masterdata!F7:F1048576, "Ja")/COUNTIFS(Masterdata!C7:C1048576, "Kvinde", Masterdata!F7:F1048576, "Ja")</f>
        <v>4.666666666666667</v>
      </c>
    </row>
    <row r="104" spans="3:6" s="38" customFormat="1" ht="16.5" x14ac:dyDescent="0.75">
      <c r="D104" s="61" t="s">
        <v>14</v>
      </c>
      <c r="E104" s="106">
        <f>SUMIFS(Masterdata!U7:U1048576, Masterdata!C7:C1048576, "Andet", Masterdata!F7:F1048576, "Ja")/COUNTIFS(Masterdata!C7:C1048576, "Andet", Masterdata!F7:F1048576, "Ja")</f>
        <v>7.5</v>
      </c>
    </row>
    <row r="105" spans="3:6" s="38" customFormat="1" ht="16.5" x14ac:dyDescent="0.75">
      <c r="D105" s="61" t="s">
        <v>15</v>
      </c>
      <c r="E105" s="106">
        <f>SUMIFS(Masterdata!U7:U1048576, Masterdata!C7:C1048576, "Ikke oplyst", Masterdata!F7:F1048576, "Ja")/COUNTIFS(Masterdata!C7:C1048576, "Ikke oplyst", Masterdata!F7:F1048576, "Ja")</f>
        <v>6.5</v>
      </c>
    </row>
    <row r="106" spans="3:6" s="38" customFormat="1" ht="16.899999999999999" thickBot="1" x14ac:dyDescent="0.8">
      <c r="D106" s="67" t="s">
        <v>50</v>
      </c>
      <c r="E106" s="107">
        <f>SUMIFS(Masterdata!U7:U1048576, Masterdata!F7:F1048576, "Ja")/'Arbejdsstyrkens karakteristika'!E18</f>
        <v>5.8</v>
      </c>
    </row>
    <row r="107" spans="3:6" s="38" customFormat="1" ht="16.5" x14ac:dyDescent="0.75"/>
    <row r="108" spans="3:6" x14ac:dyDescent="0.45">
      <c r="D108" s="1"/>
    </row>
  </sheetData>
  <sheetProtection algorithmName="SHA-512" hashValue="qEu1H/Xhl87hO2ZsjicmpWYYZGhzfv3LMC9ksyzlM1XAU9W2btwClM6fhBl7qHbyByWi7c+6R0ZnOciR4yQpzA==" saltValue="9g/lFW/2XQzpGVGkrd+NjA==" spinCount="100000" sheet="1" objects="1" scenarios="1"/>
  <mergeCells count="12">
    <mergeCell ref="D3:E5"/>
    <mergeCell ref="D7:E9"/>
    <mergeCell ref="D49:E54"/>
    <mergeCell ref="D34:E36"/>
    <mergeCell ref="D39:E41"/>
    <mergeCell ref="D43:E45"/>
    <mergeCell ref="E24:F24"/>
    <mergeCell ref="D83:E86"/>
    <mergeCell ref="D57:E59"/>
    <mergeCell ref="D61:E63"/>
    <mergeCell ref="D67:E76"/>
    <mergeCell ref="D79:E8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9DC0-ADA3-4520-BC91-0A748861B749}">
  <dimension ref="B2:I70"/>
  <sheetViews>
    <sheetView showGridLines="0" zoomScaleNormal="100" workbookViewId="0">
      <selection activeCell="J17" sqref="J17"/>
    </sheetView>
  </sheetViews>
  <sheetFormatPr defaultRowHeight="14.25" x14ac:dyDescent="0.45"/>
  <cols>
    <col min="4" max="5" width="35.73046875" customWidth="1"/>
  </cols>
  <sheetData>
    <row r="2" spans="3:9" ht="14.65" thickBot="1" x14ac:dyDescent="0.5"/>
    <row r="3" spans="3:9" x14ac:dyDescent="0.45">
      <c r="D3" s="142" t="s">
        <v>134</v>
      </c>
      <c r="E3" s="143"/>
      <c r="I3" s="75" t="s">
        <v>160</v>
      </c>
    </row>
    <row r="4" spans="3:9" ht="15" customHeight="1" x14ac:dyDescent="0.45">
      <c r="D4" s="144"/>
      <c r="E4" s="145"/>
      <c r="I4" s="75" t="s">
        <v>161</v>
      </c>
    </row>
    <row r="5" spans="3:9" ht="15" customHeight="1" thickBot="1" x14ac:dyDescent="0.5">
      <c r="D5" s="146"/>
      <c r="E5" s="147"/>
    </row>
    <row r="6" spans="3:9" ht="15.75" customHeight="1" x14ac:dyDescent="0.45"/>
    <row r="7" spans="3:9" x14ac:dyDescent="0.45">
      <c r="D7" s="167" t="s">
        <v>152</v>
      </c>
      <c r="E7" s="167"/>
    </row>
    <row r="8" spans="3:9" x14ac:dyDescent="0.45">
      <c r="D8" s="167"/>
      <c r="E8" s="167"/>
      <c r="I8" s="1"/>
    </row>
    <row r="9" spans="3:9" ht="9" customHeight="1" x14ac:dyDescent="0.45">
      <c r="D9" s="167"/>
      <c r="E9" s="167"/>
    </row>
    <row r="11" spans="3:9" s="46" customFormat="1" ht="16.5" x14ac:dyDescent="0.75">
      <c r="C11" s="64" t="s">
        <v>110</v>
      </c>
      <c r="D11" s="64" t="s">
        <v>52</v>
      </c>
    </row>
    <row r="12" spans="3:9" ht="14.65" thickBot="1" x14ac:dyDescent="0.5"/>
    <row r="13" spans="3:9" ht="16.5" x14ac:dyDescent="0.75">
      <c r="D13" s="76" t="s">
        <v>11</v>
      </c>
      <c r="E13" s="110" t="s">
        <v>53</v>
      </c>
      <c r="F13" s="77" t="s">
        <v>54</v>
      </c>
    </row>
    <row r="14" spans="3:9" ht="16.5" x14ac:dyDescent="0.75">
      <c r="D14" s="108" t="s">
        <v>23</v>
      </c>
      <c r="E14" s="38">
        <f>COUNTIFS(Masterdata!C7:C1048576,"Mand", Masterdata!F7:F1048576,"Ja",Masterdata!I7:I1048576,"Ja")</f>
        <v>2</v>
      </c>
      <c r="F14" s="116">
        <f>E14/$E$18</f>
        <v>0.33333333333333331</v>
      </c>
    </row>
    <row r="15" spans="3:9" ht="16.5" x14ac:dyDescent="0.75">
      <c r="D15" s="108" t="s">
        <v>22</v>
      </c>
      <c r="E15" s="38">
        <f>COUNTIFS(Masterdata!C7:C1048576,"Kvinde", Masterdata!F7:F1048576,"Ja",Masterdata!I7:I1048576,"Ja")</f>
        <v>2</v>
      </c>
      <c r="F15" s="116">
        <f>E15/$E$18</f>
        <v>0.33333333333333331</v>
      </c>
    </row>
    <row r="16" spans="3:9" ht="16.5" x14ac:dyDescent="0.75">
      <c r="D16" s="108" t="s">
        <v>14</v>
      </c>
      <c r="E16" s="38">
        <f>COUNTIFS(Masterdata!C7:C1048576,"Andet", Masterdata!F7:F1048576,"Ja",Masterdata!I7:I1048576,"Ja")</f>
        <v>1</v>
      </c>
      <c r="F16" s="116">
        <f>E16/$E$18</f>
        <v>0.16666666666666666</v>
      </c>
    </row>
    <row r="17" spans="2:6" ht="16.5" x14ac:dyDescent="0.75">
      <c r="D17" s="108" t="s">
        <v>15</v>
      </c>
      <c r="E17" s="38">
        <f>COUNTIFS(Masterdata!C7:C1048576,"Ikke oplyst", Masterdata!F7:F1048576,"Ja",Masterdata!I7:I1048576,"Ja")</f>
        <v>1</v>
      </c>
      <c r="F17" s="116">
        <f>E17/$E$18</f>
        <v>0.16666666666666666</v>
      </c>
    </row>
    <row r="18" spans="2:6" ht="16.899999999999999" thickBot="1" x14ac:dyDescent="0.8">
      <c r="D18" s="109" t="s">
        <v>24</v>
      </c>
      <c r="E18" s="103">
        <f>SUM(E14:E17)</f>
        <v>6</v>
      </c>
      <c r="F18" s="119">
        <f>SUM(F14:F17)</f>
        <v>0.99999999999999989</v>
      </c>
    </row>
    <row r="19" spans="2:6" x14ac:dyDescent="0.45">
      <c r="D19" s="1"/>
    </row>
    <row r="20" spans="2:6" ht="16.5" x14ac:dyDescent="0.75">
      <c r="C20" s="64" t="s">
        <v>111</v>
      </c>
      <c r="D20" s="64" t="s">
        <v>98</v>
      </c>
      <c r="E20" s="46"/>
    </row>
    <row r="21" spans="2:6" ht="14.65" thickBot="1" x14ac:dyDescent="0.5"/>
    <row r="22" spans="2:6" x14ac:dyDescent="0.45">
      <c r="D22" s="136" t="s">
        <v>131</v>
      </c>
      <c r="E22" s="137"/>
    </row>
    <row r="23" spans="2:6" x14ac:dyDescent="0.45">
      <c r="D23" s="138"/>
      <c r="E23" s="139"/>
    </row>
    <row r="24" spans="2:6" ht="23.65" customHeight="1" thickBot="1" x14ac:dyDescent="0.5">
      <c r="D24" s="140"/>
      <c r="E24" s="141"/>
    </row>
    <row r="25" spans="2:6" x14ac:dyDescent="0.45">
      <c r="D25" s="1"/>
    </row>
    <row r="26" spans="2:6" ht="16.5" x14ac:dyDescent="0.75">
      <c r="B26" s="46"/>
      <c r="C26" s="64" t="s">
        <v>112</v>
      </c>
      <c r="D26" s="64" t="s">
        <v>132</v>
      </c>
    </row>
    <row r="27" spans="2:6" ht="14.65" thickBot="1" x14ac:dyDescent="0.5"/>
    <row r="28" spans="2:6" ht="16.5" x14ac:dyDescent="0.75">
      <c r="D28" s="76" t="s">
        <v>55</v>
      </c>
      <c r="E28" s="110" t="s">
        <v>53</v>
      </c>
      <c r="F28" s="77" t="s">
        <v>54</v>
      </c>
    </row>
    <row r="29" spans="2:6" ht="16.5" x14ac:dyDescent="0.75">
      <c r="D29" s="61" t="s">
        <v>56</v>
      </c>
      <c r="E29" s="38">
        <f>COUNTIF(Masterdata!D6:D1048576, "&lt;30")</f>
        <v>4</v>
      </c>
      <c r="F29" s="116">
        <f>E29/$E$33</f>
        <v>0.16</v>
      </c>
    </row>
    <row r="30" spans="2:6" ht="16.5" x14ac:dyDescent="0.75">
      <c r="D30" s="61" t="s">
        <v>57</v>
      </c>
      <c r="E30" s="38">
        <f>COUNTIFS(Masterdata!D6:D1048576, "&gt;=30",Masterdata!D6:D1048576,"&lt;51")</f>
        <v>6</v>
      </c>
      <c r="F30" s="116">
        <f t="shared" ref="F30:F32" si="0">E30/$E$33</f>
        <v>0.24</v>
      </c>
    </row>
    <row r="31" spans="2:6" ht="16.5" x14ac:dyDescent="0.75">
      <c r="D31" s="61" t="s">
        <v>58</v>
      </c>
      <c r="E31" s="38">
        <f>COUNTIF(Masterdata!D6:D1048576,"&gt;50")</f>
        <v>12</v>
      </c>
      <c r="F31" s="116">
        <f t="shared" si="0"/>
        <v>0.48</v>
      </c>
    </row>
    <row r="32" spans="2:6" ht="16.5" x14ac:dyDescent="0.75">
      <c r="D32" s="61" t="s">
        <v>15</v>
      </c>
      <c r="E32" s="38">
        <f>COUNTIFS(Masterdata!D7:D1048576,"",Masterdata!B7:B1048576,"&lt;&gt;")</f>
        <v>3</v>
      </c>
      <c r="F32" s="116">
        <f t="shared" si="0"/>
        <v>0.12</v>
      </c>
    </row>
    <row r="33" spans="3:6" ht="16.899999999999999" thickBot="1" x14ac:dyDescent="0.8">
      <c r="D33" s="67" t="s">
        <v>24</v>
      </c>
      <c r="E33" s="103">
        <f>SUM(E29:E32)</f>
        <v>25</v>
      </c>
      <c r="F33" s="119">
        <f>SUM(F29:F32)</f>
        <v>1</v>
      </c>
    </row>
    <row r="34" spans="3:6" x14ac:dyDescent="0.45">
      <c r="F34" s="10"/>
    </row>
    <row r="35" spans="3:6" ht="14.65" thickBot="1" x14ac:dyDescent="0.5">
      <c r="F35" s="10"/>
    </row>
    <row r="36" spans="3:6" ht="14.25" customHeight="1" x14ac:dyDescent="0.45">
      <c r="D36" s="142" t="s">
        <v>133</v>
      </c>
      <c r="E36" s="143"/>
      <c r="F36" s="10"/>
    </row>
    <row r="37" spans="3:6" ht="14.25" customHeight="1" x14ac:dyDescent="0.45">
      <c r="D37" s="144"/>
      <c r="E37" s="145"/>
      <c r="F37" s="10"/>
    </row>
    <row r="38" spans="3:6" ht="14.65" customHeight="1" thickBot="1" x14ac:dyDescent="0.5">
      <c r="D38" s="146"/>
      <c r="E38" s="147"/>
      <c r="F38" s="10"/>
    </row>
    <row r="39" spans="3:6" x14ac:dyDescent="0.45">
      <c r="F39" s="10"/>
    </row>
    <row r="40" spans="3:6" ht="14.25" customHeight="1" x14ac:dyDescent="0.45">
      <c r="D40" s="167" t="s">
        <v>153</v>
      </c>
      <c r="E40" s="167"/>
      <c r="F40" s="10"/>
    </row>
    <row r="41" spans="3:6" x14ac:dyDescent="0.45">
      <c r="D41" s="167"/>
      <c r="E41" s="167"/>
      <c r="F41" s="10"/>
    </row>
    <row r="42" spans="3:6" ht="8.25" customHeight="1" x14ac:dyDescent="0.45">
      <c r="D42" s="167"/>
      <c r="E42" s="167"/>
      <c r="F42" s="10"/>
    </row>
    <row r="43" spans="3:6" x14ac:dyDescent="0.45">
      <c r="F43" s="10"/>
    </row>
    <row r="44" spans="3:6" x14ac:dyDescent="0.45">
      <c r="F44" s="10"/>
    </row>
    <row r="45" spans="3:6" s="46" customFormat="1" ht="16.5" x14ac:dyDescent="0.75">
      <c r="C45" s="64" t="s">
        <v>110</v>
      </c>
      <c r="D45" s="64" t="s">
        <v>135</v>
      </c>
      <c r="F45" s="111"/>
    </row>
    <row r="46" spans="3:6" ht="14.65" thickBot="1" x14ac:dyDescent="0.5">
      <c r="C46" s="1"/>
    </row>
    <row r="47" spans="3:6" s="46" customFormat="1" ht="16.5" x14ac:dyDescent="0.75">
      <c r="D47" s="81"/>
      <c r="E47" s="110" t="s">
        <v>53</v>
      </c>
      <c r="F47" s="77" t="s">
        <v>54</v>
      </c>
    </row>
    <row r="48" spans="3:6" ht="16.899999999999999" thickBot="1" x14ac:dyDescent="0.8">
      <c r="D48" s="112" t="s">
        <v>54</v>
      </c>
      <c r="E48" s="59">
        <f>COUNTIF(Masterdata!R7:R1048576,"Ja")</f>
        <v>2</v>
      </c>
      <c r="F48" s="118">
        <f>E48/(COUNTIF(Masterdata!F7:F1048576,"Ja"))</f>
        <v>0.2</v>
      </c>
    </row>
    <row r="50" spans="3:5" ht="14.65" thickBot="1" x14ac:dyDescent="0.5"/>
    <row r="51" spans="3:5" ht="14.25" customHeight="1" x14ac:dyDescent="0.45">
      <c r="D51" s="142" t="s">
        <v>136</v>
      </c>
      <c r="E51" s="143"/>
    </row>
    <row r="52" spans="3:5" ht="14.25" customHeight="1" x14ac:dyDescent="0.45">
      <c r="D52" s="144"/>
      <c r="E52" s="145"/>
    </row>
    <row r="53" spans="3:5" ht="14.65" customHeight="1" thickBot="1" x14ac:dyDescent="0.5">
      <c r="D53" s="146"/>
      <c r="E53" s="147"/>
    </row>
    <row r="55" spans="3:5" ht="15" customHeight="1" x14ac:dyDescent="0.45">
      <c r="D55" s="167" t="s">
        <v>154</v>
      </c>
      <c r="E55" s="167"/>
    </row>
    <row r="56" spans="3:5" ht="14.25" customHeight="1" x14ac:dyDescent="0.45">
      <c r="D56" s="167"/>
      <c r="E56" s="167"/>
    </row>
    <row r="57" spans="3:5" ht="14.25" customHeight="1" x14ac:dyDescent="0.45">
      <c r="D57" s="167"/>
      <c r="E57" s="167"/>
    </row>
    <row r="58" spans="3:5" ht="8.25" customHeight="1" x14ac:dyDescent="0.45">
      <c r="D58" s="167"/>
      <c r="E58" s="167"/>
    </row>
    <row r="59" spans="3:5" x14ac:dyDescent="0.45">
      <c r="C59" s="1"/>
      <c r="D59" s="1"/>
    </row>
    <row r="60" spans="3:5" s="46" customFormat="1" ht="16.5" x14ac:dyDescent="0.75">
      <c r="C60" s="64" t="s">
        <v>110</v>
      </c>
      <c r="D60" s="64" t="s">
        <v>137</v>
      </c>
    </row>
    <row r="61" spans="3:5" ht="14.65" thickBot="1" x14ac:dyDescent="0.5">
      <c r="C61" s="1"/>
    </row>
    <row r="62" spans="3:5" ht="16.5" x14ac:dyDescent="0.75">
      <c r="D62" s="6"/>
      <c r="E62" s="77" t="s">
        <v>63</v>
      </c>
    </row>
    <row r="63" spans="3:5" ht="16.5" x14ac:dyDescent="0.75">
      <c r="D63" s="108" t="s">
        <v>62</v>
      </c>
      <c r="E63" s="116">
        <f>(AVERAGEIF(Masterdata!C7:C1048576,"Mand",Masterdata!K7:K1048576)-AVERAGEIF(Masterdata!C7:C1048576,"Kvinde",Masterdata!K7:K1048576))/AVERAGEIF(Masterdata!C7:C1048576,"Mand",Masterdata!K7:K1048576)</f>
        <v>-0.6071578947368419</v>
      </c>
    </row>
    <row r="64" spans="3:5" x14ac:dyDescent="0.45">
      <c r="D64" s="7"/>
      <c r="E64" s="8"/>
    </row>
    <row r="65" spans="3:5" ht="16.5" x14ac:dyDescent="0.75">
      <c r="D65" s="2"/>
      <c r="E65" s="114" t="s">
        <v>67</v>
      </c>
    </row>
    <row r="66" spans="3:5" ht="16.899999999999999" thickBot="1" x14ac:dyDescent="0.8">
      <c r="D66" s="113" t="s">
        <v>64</v>
      </c>
      <c r="E66" s="117">
        <f>MAX(Masterdata!L7:L1048576)/(MEDIAN(Masterdata!L7:L1048576)-MAX(Masterdata!L7:L1048576))</f>
        <v>-1.4499320344358859</v>
      </c>
    </row>
    <row r="68" spans="3:5" s="46" customFormat="1" ht="16.899999999999999" thickBot="1" x14ac:dyDescent="0.8">
      <c r="C68" s="64" t="s">
        <v>111</v>
      </c>
      <c r="D68" s="64" t="s">
        <v>98</v>
      </c>
      <c r="E68" s="115"/>
    </row>
    <row r="69" spans="3:5" x14ac:dyDescent="0.45">
      <c r="D69" s="168" t="s">
        <v>85</v>
      </c>
      <c r="E69" s="169"/>
    </row>
    <row r="70" spans="3:5" ht="19.899999999999999" customHeight="1" thickBot="1" x14ac:dyDescent="0.5">
      <c r="D70" s="170"/>
      <c r="E70" s="171"/>
    </row>
  </sheetData>
  <sheetProtection algorithmName="SHA-512" hashValue="+Oc6O92RDX57NAeV9E0Bp7s9CVuzDHQGcLqfXa+1rM/NRAsTtIdIxb+DKITvRkabBCS4r0FvtVeMSnaGtIO4+A==" saltValue="02xWxQMdczISlRPIAOb4Mg==" spinCount="100000" sheet="1" objects="1" scenarios="1"/>
  <mergeCells count="8">
    <mergeCell ref="D40:E42"/>
    <mergeCell ref="D51:E53"/>
    <mergeCell ref="D69:E70"/>
    <mergeCell ref="D55:E58"/>
    <mergeCell ref="D3:E5"/>
    <mergeCell ref="D7:E9"/>
    <mergeCell ref="D22:E24"/>
    <mergeCell ref="D36:E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E335-1C8D-42D9-8975-000E719F87A3}">
  <dimension ref="A1:G63"/>
  <sheetViews>
    <sheetView showGridLines="0" workbookViewId="0">
      <selection activeCell="G11" sqref="G11"/>
    </sheetView>
  </sheetViews>
  <sheetFormatPr defaultRowHeight="14.25" x14ac:dyDescent="0.45"/>
  <cols>
    <col min="4" max="4" width="61.3984375" customWidth="1"/>
    <col min="6" max="6" width="25.1328125" bestFit="1" customWidth="1"/>
  </cols>
  <sheetData>
    <row r="1" spans="1:7" ht="14.65" thickBot="1" x14ac:dyDescent="0.5"/>
    <row r="2" spans="1:7" x14ac:dyDescent="0.45">
      <c r="D2" s="142" t="s">
        <v>139</v>
      </c>
      <c r="E2" s="143"/>
      <c r="G2" s="75" t="s">
        <v>160</v>
      </c>
    </row>
    <row r="3" spans="1:7" ht="15" customHeight="1" x14ac:dyDescent="0.45">
      <c r="D3" s="144"/>
      <c r="E3" s="145"/>
      <c r="G3" s="75" t="s">
        <v>161</v>
      </c>
    </row>
    <row r="4" spans="1:7" ht="15" customHeight="1" thickBot="1" x14ac:dyDescent="0.5">
      <c r="D4" s="146"/>
      <c r="E4" s="147"/>
    </row>
    <row r="5" spans="1:7" ht="15.75" customHeight="1" x14ac:dyDescent="0.45"/>
    <row r="6" spans="1:7" x14ac:dyDescent="0.45">
      <c r="D6" s="167" t="s">
        <v>155</v>
      </c>
      <c r="E6" s="167"/>
    </row>
    <row r="7" spans="1:7" x14ac:dyDescent="0.45">
      <c r="D7" s="167"/>
      <c r="E7" s="167"/>
      <c r="G7" s="1"/>
    </row>
    <row r="8" spans="1:7" ht="22.5" customHeight="1" x14ac:dyDescent="0.45">
      <c r="C8" s="1"/>
      <c r="D8" s="167"/>
      <c r="E8" s="167"/>
    </row>
    <row r="10" spans="1:7" s="46" customFormat="1" ht="16.5" x14ac:dyDescent="0.75">
      <c r="C10" s="46" t="s">
        <v>110</v>
      </c>
      <c r="D10" s="46" t="s">
        <v>138</v>
      </c>
    </row>
    <row r="11" spans="1:7" ht="14.65" thickBot="1" x14ac:dyDescent="0.5">
      <c r="C11" s="1"/>
      <c r="D11" s="13"/>
      <c r="E11" s="14"/>
    </row>
    <row r="12" spans="1:7" ht="16.899999999999999" thickBot="1" x14ac:dyDescent="0.8">
      <c r="C12" s="1"/>
      <c r="D12" s="120" t="s">
        <v>140</v>
      </c>
      <c r="E12" s="129">
        <v>1</v>
      </c>
    </row>
    <row r="14" spans="1:7" ht="16.5" x14ac:dyDescent="0.75">
      <c r="A14" s="46"/>
      <c r="B14" s="46"/>
      <c r="C14" s="46" t="s">
        <v>111</v>
      </c>
      <c r="D14" s="46" t="s">
        <v>70</v>
      </c>
    </row>
    <row r="15" spans="1:7" ht="14.65" thickBot="1" x14ac:dyDescent="0.5"/>
    <row r="16" spans="1:7" ht="16.5" x14ac:dyDescent="0.75">
      <c r="D16" s="6"/>
      <c r="E16" s="82" t="s">
        <v>53</v>
      </c>
      <c r="G16" s="1"/>
    </row>
    <row r="17" spans="2:5" ht="16.5" x14ac:dyDescent="0.75">
      <c r="D17" s="121" t="s">
        <v>72</v>
      </c>
      <c r="E17" s="57">
        <f>Masterdata!Y9</f>
        <v>0</v>
      </c>
    </row>
    <row r="18" spans="2:5" ht="16.5" x14ac:dyDescent="0.75">
      <c r="D18" s="121" t="s">
        <v>106</v>
      </c>
      <c r="E18" s="106">
        <f>(Masterdata!Y10/Masterdata!Y12)*1000000</f>
        <v>32.428576061225151</v>
      </c>
    </row>
    <row r="19" spans="2:5" ht="16.5" x14ac:dyDescent="0.75">
      <c r="D19" s="121" t="s">
        <v>103</v>
      </c>
      <c r="E19" s="57">
        <f>Masterdata!Y10</f>
        <v>4</v>
      </c>
    </row>
    <row r="20" spans="2:5" ht="16.899999999999999" thickBot="1" x14ac:dyDescent="0.8">
      <c r="C20" s="1"/>
      <c r="D20" s="122" t="s">
        <v>104</v>
      </c>
      <c r="E20" s="73">
        <f>Masterdata!Y11</f>
        <v>32</v>
      </c>
    </row>
    <row r="21" spans="2:5" x14ac:dyDescent="0.45">
      <c r="C21" s="1"/>
      <c r="D21" s="1"/>
    </row>
    <row r="22" spans="2:5" ht="14.65" thickBot="1" x14ac:dyDescent="0.5">
      <c r="C22" s="1"/>
      <c r="D22" s="1"/>
    </row>
    <row r="23" spans="2:5" ht="14.25" customHeight="1" x14ac:dyDescent="0.45">
      <c r="C23" s="1"/>
      <c r="D23" s="142" t="s">
        <v>141</v>
      </c>
      <c r="E23" s="143"/>
    </row>
    <row r="24" spans="2:5" ht="14.25" customHeight="1" x14ac:dyDescent="0.45">
      <c r="C24" s="1"/>
      <c r="D24" s="144"/>
      <c r="E24" s="145"/>
    </row>
    <row r="25" spans="2:5" ht="14.65" customHeight="1" thickBot="1" x14ac:dyDescent="0.5">
      <c r="C25" s="1"/>
      <c r="D25" s="146"/>
      <c r="E25" s="147"/>
    </row>
    <row r="26" spans="2:5" x14ac:dyDescent="0.45">
      <c r="C26" s="1"/>
    </row>
    <row r="27" spans="2:5" ht="14.25" customHeight="1" x14ac:dyDescent="0.45">
      <c r="C27" s="1"/>
      <c r="D27" s="167" t="s">
        <v>156</v>
      </c>
      <c r="E27" s="167"/>
    </row>
    <row r="28" spans="2:5" x14ac:dyDescent="0.45">
      <c r="C28" s="1"/>
      <c r="D28" s="167"/>
      <c r="E28" s="167"/>
    </row>
    <row r="29" spans="2:5" ht="22.9" customHeight="1" x14ac:dyDescent="0.45">
      <c r="C29" s="1"/>
      <c r="D29" s="167"/>
      <c r="E29" s="167"/>
    </row>
    <row r="30" spans="2:5" x14ac:dyDescent="0.45">
      <c r="C30" s="1"/>
      <c r="D30" s="1"/>
    </row>
    <row r="31" spans="2:5" ht="16.5" x14ac:dyDescent="0.75">
      <c r="B31" s="46"/>
      <c r="C31" s="46" t="s">
        <v>110</v>
      </c>
      <c r="D31" s="46" t="s">
        <v>86</v>
      </c>
    </row>
    <row r="32" spans="2:5" ht="14.65" thickBot="1" x14ac:dyDescent="0.5">
      <c r="C32" s="1"/>
    </row>
    <row r="33" spans="2:6" ht="16.899999999999999" thickBot="1" x14ac:dyDescent="0.8">
      <c r="C33" s="1"/>
      <c r="D33" s="84" t="s">
        <v>86</v>
      </c>
      <c r="E33" s="128">
        <v>1</v>
      </c>
    </row>
    <row r="34" spans="2:6" x14ac:dyDescent="0.45">
      <c r="C34" s="1"/>
      <c r="D34" s="1"/>
      <c r="E34" s="12"/>
    </row>
    <row r="35" spans="2:6" ht="16.899999999999999" thickBot="1" x14ac:dyDescent="0.8">
      <c r="B35" s="46"/>
      <c r="C35" s="46" t="s">
        <v>111</v>
      </c>
      <c r="D35" s="46" t="s">
        <v>97</v>
      </c>
      <c r="E35" s="12"/>
    </row>
    <row r="36" spans="2:6" x14ac:dyDescent="0.45">
      <c r="C36" s="1"/>
      <c r="D36" s="172" t="s">
        <v>142</v>
      </c>
      <c r="E36" s="173"/>
    </row>
    <row r="37" spans="2:6" x14ac:dyDescent="0.45">
      <c r="C37" s="1"/>
      <c r="D37" s="174"/>
      <c r="E37" s="175"/>
    </row>
    <row r="38" spans="2:6" ht="14.65" thickBot="1" x14ac:dyDescent="0.5">
      <c r="C38" s="1"/>
      <c r="D38" s="176"/>
      <c r="E38" s="177"/>
    </row>
    <row r="39" spans="2:6" x14ac:dyDescent="0.45">
      <c r="C39" s="1"/>
    </row>
    <row r="40" spans="2:6" ht="16.5" x14ac:dyDescent="0.75">
      <c r="B40" s="46"/>
      <c r="C40" s="46" t="s">
        <v>112</v>
      </c>
      <c r="D40" s="46" t="s">
        <v>143</v>
      </c>
    </row>
    <row r="41" spans="2:6" ht="14.65" thickBot="1" x14ac:dyDescent="0.5">
      <c r="F41" s="1"/>
    </row>
    <row r="42" spans="2:6" ht="16.5" x14ac:dyDescent="0.75">
      <c r="D42" s="81" t="s">
        <v>11</v>
      </c>
      <c r="E42" s="82" t="s">
        <v>54</v>
      </c>
      <c r="F42" s="9"/>
    </row>
    <row r="43" spans="2:6" ht="16.5" x14ac:dyDescent="0.75">
      <c r="D43" s="121" t="s">
        <v>23</v>
      </c>
      <c r="E43" s="102">
        <f>COUNTIFS(Masterdata!C7:C1048576,"Mand", Masterdata!F7:F1048576,"Ja",Masterdata!P7:P1048576,"&gt;0")/COUNTIF(Masterdata!F7:F1048576,"Ja")</f>
        <v>0.1</v>
      </c>
      <c r="F43" s="9"/>
    </row>
    <row r="44" spans="2:6" ht="16.5" x14ac:dyDescent="0.75">
      <c r="D44" s="121" t="s">
        <v>22</v>
      </c>
      <c r="E44" s="102">
        <f>COUNTIFS(Masterdata!C7:C1048576,"Kvinde", Masterdata!F7:F1048576,"Ja",Masterdata!P7:P1048576,"&gt;0")/COUNTIF(Masterdata!F7:F1048576,"Ja")</f>
        <v>0.2</v>
      </c>
      <c r="F44" s="9"/>
    </row>
    <row r="45" spans="2:6" ht="16.5" x14ac:dyDescent="0.75">
      <c r="D45" s="121" t="s">
        <v>14</v>
      </c>
      <c r="E45" s="102">
        <f>COUNTIFS(Masterdata!C7:C1048576,"Andet", Masterdata!F7:F1048576,"Ja",Masterdata!P7:P1048576,"&gt;0")/COUNTIF(Masterdata!F7:F1048576,"Ja")</f>
        <v>0.1</v>
      </c>
      <c r="F45" s="9"/>
    </row>
    <row r="46" spans="2:6" ht="16.5" x14ac:dyDescent="0.75">
      <c r="D46" s="121" t="s">
        <v>15</v>
      </c>
      <c r="E46" s="102">
        <f>COUNTIFS(Masterdata!C7:C1048576,"Ikke oplyst", Masterdata!F7:F1048576,"Ja",Masterdata!P7:P1048576,"&gt;0")/COUNTIF(Masterdata!F7:F1048576,"Ja")</f>
        <v>0.1</v>
      </c>
      <c r="F46" s="10"/>
    </row>
    <row r="47" spans="2:6" ht="16.899999999999999" thickBot="1" x14ac:dyDescent="0.8">
      <c r="D47" s="123" t="s">
        <v>24</v>
      </c>
      <c r="E47" s="127">
        <f>SUM(E43:E46)</f>
        <v>0.5</v>
      </c>
    </row>
    <row r="49" spans="2:6" ht="14.65" thickBot="1" x14ac:dyDescent="0.5"/>
    <row r="50" spans="2:6" ht="14.25" customHeight="1" x14ac:dyDescent="0.45">
      <c r="D50" s="178" t="s">
        <v>144</v>
      </c>
      <c r="E50" s="179"/>
    </row>
    <row r="51" spans="2:6" ht="14.25" customHeight="1" x14ac:dyDescent="0.45">
      <c r="D51" s="180"/>
      <c r="E51" s="181"/>
    </row>
    <row r="52" spans="2:6" ht="27" customHeight="1" thickBot="1" x14ac:dyDescent="0.5">
      <c r="D52" s="182"/>
      <c r="E52" s="183"/>
    </row>
    <row r="54" spans="2:6" ht="14.25" customHeight="1" x14ac:dyDescent="0.45">
      <c r="D54" s="167" t="s">
        <v>157</v>
      </c>
      <c r="E54" s="167"/>
    </row>
    <row r="55" spans="2:6" x14ac:dyDescent="0.45">
      <c r="D55" s="167"/>
      <c r="E55" s="167"/>
    </row>
    <row r="56" spans="2:6" ht="22.5" customHeight="1" x14ac:dyDescent="0.45">
      <c r="D56" s="167"/>
      <c r="E56" s="167"/>
    </row>
    <row r="59" spans="2:6" ht="16.5" x14ac:dyDescent="0.75">
      <c r="B59" s="46"/>
      <c r="C59" s="46" t="s">
        <v>110</v>
      </c>
      <c r="D59" s="46" t="s">
        <v>145</v>
      </c>
    </row>
    <row r="60" spans="2:6" ht="14.65" thickBot="1" x14ac:dyDescent="0.5">
      <c r="D60" s="11"/>
    </row>
    <row r="61" spans="2:6" ht="16.5" x14ac:dyDescent="0.75">
      <c r="D61" s="6"/>
      <c r="E61" s="126" t="s">
        <v>53</v>
      </c>
      <c r="F61" s="82" t="s">
        <v>65</v>
      </c>
    </row>
    <row r="62" spans="2:6" ht="16.5" x14ac:dyDescent="0.75">
      <c r="D62" s="124" t="s">
        <v>66</v>
      </c>
      <c r="E62" s="38">
        <f>Masterdata!Y13</f>
        <v>0</v>
      </c>
      <c r="F62" s="57">
        <f>Masterdata!Y14</f>
        <v>0</v>
      </c>
    </row>
    <row r="63" spans="2:6" ht="16.899999999999999" thickBot="1" x14ac:dyDescent="0.8">
      <c r="D63" s="125" t="s">
        <v>69</v>
      </c>
      <c r="E63" s="59">
        <f>Masterdata!Y15</f>
        <v>1</v>
      </c>
      <c r="F63" s="60">
        <f>Masterdata!Y16</f>
        <v>150000</v>
      </c>
    </row>
  </sheetData>
  <sheetProtection algorithmName="SHA-512" hashValue="z0CXJ4uRbIQKwaPJ5m7TfowtOrBGFavizaphn9mMsQQMgGNGl5GjGJf2kgfk1TRy3Kvft+ZE7ofvVwOalOk95g==" saltValue="cu8bapdRRFf0sSNF9wfNXA==" spinCount="100000" sheet="1" objects="1" scenarios="1"/>
  <mergeCells count="7">
    <mergeCell ref="D36:E38"/>
    <mergeCell ref="D50:E52"/>
    <mergeCell ref="D54:E56"/>
    <mergeCell ref="D2:E4"/>
    <mergeCell ref="D6:E8"/>
    <mergeCell ref="D23:E25"/>
    <mergeCell ref="D27:E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caae65-594e-4700-b978-ceca64e583c3" xsi:nil="true"/>
    <Bem_x00e6_rkninger xmlns="39292de6-08d5-4824-b90b-24eac7e06074" xsi:nil="true"/>
    <lcf76f155ced4ddcb4097134ff3c332f xmlns="39292de6-08d5-4824-b90b-24eac7e06074">
      <Terms xmlns="http://schemas.microsoft.com/office/infopath/2007/PartnerControls"/>
    </lcf76f155ced4ddcb4097134ff3c332f>
    <SharedWithUsers xmlns="cecaae65-594e-4700-b978-ceca64e583c3">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E9DFFAD018564C9E3620410C15D6B7" ma:contentTypeVersion="16" ma:contentTypeDescription="Create a new document." ma:contentTypeScope="" ma:versionID="21bb62c3c59dc5e0d3fc11f6cdb004ce">
  <xsd:schema xmlns:xsd="http://www.w3.org/2001/XMLSchema" xmlns:xs="http://www.w3.org/2001/XMLSchema" xmlns:p="http://schemas.microsoft.com/office/2006/metadata/properties" xmlns:ns2="39292de6-08d5-4824-b90b-24eac7e06074" xmlns:ns3="cecaae65-594e-4700-b978-ceca64e583c3" targetNamespace="http://schemas.microsoft.com/office/2006/metadata/properties" ma:root="true" ma:fieldsID="79297883c3bf021c88c8d77ebd98b9f7" ns2:_="" ns3:_="">
    <xsd:import namespace="39292de6-08d5-4824-b90b-24eac7e06074"/>
    <xsd:import namespace="cecaae65-594e-4700-b978-ceca64e58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Bem_x00e6_rkning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92de6-08d5-4824-b90b-24eac7e06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3b907f2-7657-4809-ae9e-0d59f977a61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Bem_x00e6_rkninger" ma:index="21" nillable="true" ma:displayName="Bemærkninger" ma:format="Dropdown" ma:internalName="Bem_x00e6_rkninger">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aae65-594e-4700-b978-ceca64e58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db8e3c-1616-419a-8627-479a44ad1b3c}" ma:internalName="TaxCatchAll" ma:showField="CatchAllData" ma:web="cecaae65-594e-4700-b978-ceca64e583c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1AE39-5C6A-48D3-87A2-EA34995F99C2}">
  <ds:schemaRefs>
    <ds:schemaRef ds:uri="39292de6-08d5-4824-b90b-24eac7e06074"/>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ecaae65-594e-4700-b978-ceca64e583c3"/>
    <ds:schemaRef ds:uri="http://purl.org/dc/dcmitype/"/>
  </ds:schemaRefs>
</ds:datastoreItem>
</file>

<file path=customXml/itemProps2.xml><?xml version="1.0" encoding="utf-8"?>
<ds:datastoreItem xmlns:ds="http://schemas.openxmlformats.org/officeDocument/2006/customXml" ds:itemID="{FC8D7A4E-D405-4209-81E2-23DFE0FA0A0F}">
  <ds:schemaRefs>
    <ds:schemaRef ds:uri="http://schemas.microsoft.com/sharepoint/v3/contenttype/forms"/>
  </ds:schemaRefs>
</ds:datastoreItem>
</file>

<file path=customXml/itemProps3.xml><?xml version="1.0" encoding="utf-8"?>
<ds:datastoreItem xmlns:ds="http://schemas.openxmlformats.org/officeDocument/2006/customXml" ds:itemID="{F8B5ECC7-4490-4DB7-8235-6882656FC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92de6-08d5-4824-b90b-24eac7e06074"/>
    <ds:schemaRef ds:uri="cecaae65-594e-4700-b978-ceca64e58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3393302-20a5-4156-bb13-fcb1aa1c5f4b}" enabled="0" method="" siteId="{a3393302-20a5-4156-bb13-fcb1aa1c5f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Kriterier</vt:lpstr>
      <vt:lpstr>Masterdata</vt:lpstr>
      <vt:lpstr>Arbejdsstyrkens karakteristika</vt:lpstr>
      <vt:lpstr>Løn, karriere og sociale forhol</vt:lpstr>
      <vt:lpstr>Mangfoldighed, inklusion og li</vt:lpstr>
      <vt:lpstr>Arbejdsmiljø</vt:lpstr>
    </vt:vector>
  </TitlesOfParts>
  <Company>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Jakob Johannes Andersen Kjærside</dc:creator>
  <cp:lastModifiedBy>Clara Møller Geday</cp:lastModifiedBy>
  <dcterms:created xsi:type="dcterms:W3CDTF">2025-01-14T08:34:31Z</dcterms:created>
  <dcterms:modified xsi:type="dcterms:W3CDTF">2025-07-22T08:26:12Z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0x010100B3E9DFFAD018564C9E3620410C15D6B7</vt:lpwstr>
  </property>
  <property fmtid="{D5CDD505-2E9C-101B-9397-08002B2CF9AE}" pid="3" name="Order">
    <vt:r8>368400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